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QJLEYLA\Desktop\Form updates - staff-professional services pages\"/>
    </mc:Choice>
  </mc:AlternateContent>
  <bookViews>
    <workbookView xWindow="0" yWindow="0" windowWidth="19200" windowHeight="12180"/>
  </bookViews>
  <sheets>
    <sheet name="Sheet1" sheetId="1" r:id="rId1"/>
    <sheet name="Sheet2" sheetId="2" r:id="rId2"/>
    <sheet name="Sheet3" sheetId="3" r:id="rId3"/>
  </sheets>
  <definedNames>
    <definedName name="CentreContent" localSheetId="1">Sheet2!$B$10</definedName>
    <definedName name="_xlnm.Print_Area" localSheetId="0">Sheet1!$A$1:$L$124</definedName>
  </definedNames>
  <calcPr calcId="162913" concurrentCalc="0"/>
</workbook>
</file>

<file path=xl/calcChain.xml><?xml version="1.0" encoding="utf-8"?>
<calcChain xmlns="http://schemas.openxmlformats.org/spreadsheetml/2006/main">
  <c r="C36" i="1" l="1"/>
  <c r="D33" i="1"/>
  <c r="A38" i="1"/>
  <c r="K38" i="1"/>
  <c r="D95" i="2"/>
  <c r="C16" i="2"/>
  <c r="C15" i="2"/>
  <c r="C14" i="2"/>
  <c r="C13" i="2"/>
  <c r="C12" i="2"/>
  <c r="C11" i="2"/>
  <c r="C10" i="2"/>
  <c r="C9" i="2"/>
  <c r="C8" i="2"/>
  <c r="C7" i="2"/>
  <c r="E62" i="1"/>
  <c r="E79" i="1"/>
  <c r="E80" i="1"/>
  <c r="C114" i="2"/>
  <c r="F114" i="2"/>
  <c r="E71" i="1"/>
  <c r="E72" i="1"/>
  <c r="E73" i="1"/>
  <c r="E74" i="1"/>
  <c r="C104" i="2"/>
  <c r="C105" i="2"/>
  <c r="C106" i="2"/>
  <c r="C107" i="2"/>
  <c r="C110"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C111"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C112" i="2"/>
  <c r="C108" i="2"/>
  <c r="D67" i="2"/>
  <c r="D68" i="2"/>
  <c r="D69" i="2"/>
  <c r="D70" i="2"/>
  <c r="D71" i="2"/>
  <c r="D72" i="2"/>
  <c r="D73" i="2"/>
  <c r="D74" i="2"/>
  <c r="D75" i="2"/>
  <c r="D76" i="2"/>
  <c r="D77" i="2"/>
  <c r="D78" i="2"/>
  <c r="D79" i="2"/>
  <c r="D80" i="2"/>
  <c r="D81" i="2"/>
  <c r="D82" i="2"/>
  <c r="D83" i="2"/>
  <c r="D84" i="2"/>
  <c r="C109" i="2"/>
  <c r="C103" i="2"/>
  <c r="C115" i="2"/>
  <c r="C116" i="2"/>
  <c r="C117" i="2"/>
  <c r="E82" i="1"/>
  <c r="I88" i="1"/>
  <c r="C30" i="1"/>
  <c r="E102" i="1"/>
  <c r="I78" i="1"/>
  <c r="I70" i="1"/>
  <c r="G61" i="1"/>
  <c r="G60" i="1"/>
  <c r="K62" i="1"/>
  <c r="C24" i="1"/>
  <c r="A26" i="1"/>
  <c r="C77" i="2"/>
  <c r="C78" i="2"/>
  <c r="A44" i="1"/>
  <c r="A32" i="1"/>
  <c r="C48" i="1"/>
  <c r="A50" i="1"/>
  <c r="C45" i="1"/>
  <c r="A47" i="1"/>
  <c r="E51" i="1"/>
  <c r="G33" i="1"/>
  <c r="E103" i="2"/>
  <c r="C27" i="1"/>
  <c r="A29" i="1"/>
  <c r="E110" i="2"/>
  <c r="E112" i="2"/>
  <c r="E39" i="1"/>
  <c r="F42" i="1"/>
  <c r="A41" i="1"/>
  <c r="E63" i="1"/>
  <c r="E64" i="1"/>
  <c r="I79" i="1"/>
  <c r="I71" i="1"/>
  <c r="F62" i="1"/>
  <c r="C83" i="2"/>
  <c r="E108" i="2"/>
  <c r="C42" i="1"/>
  <c r="C68" i="2"/>
  <c r="C69" i="2"/>
  <c r="C70" i="2"/>
  <c r="C71" i="2"/>
  <c r="C72" i="2"/>
  <c r="C73" i="2"/>
  <c r="C74" i="2"/>
  <c r="C75" i="2"/>
  <c r="C76" i="2"/>
  <c r="C79" i="2"/>
  <c r="C80" i="2"/>
  <c r="C81" i="2"/>
  <c r="C82" i="2"/>
  <c r="C84" i="2"/>
  <c r="C67" i="2"/>
  <c r="D94" i="2"/>
  <c r="I72" i="1"/>
  <c r="F109" i="2"/>
  <c r="F111" i="2"/>
  <c r="A35" i="1"/>
  <c r="I73" i="1"/>
  <c r="E115" i="2"/>
  <c r="E117" i="2"/>
  <c r="E116" i="2"/>
  <c r="F106" i="2"/>
  <c r="F115" i="2"/>
  <c r="F82" i="1"/>
  <c r="F107" i="2"/>
  <c r="E107" i="2"/>
  <c r="E105" i="2"/>
  <c r="F105" i="2"/>
  <c r="F104" i="2"/>
  <c r="A115" i="1"/>
  <c r="E83" i="1"/>
  <c r="E84" i="1"/>
  <c r="E114" i="1"/>
  <c r="A114" i="1"/>
  <c r="A113" i="1"/>
</calcChain>
</file>

<file path=xl/comments1.xml><?xml version="1.0" encoding="utf-8"?>
<comments xmlns="http://schemas.openxmlformats.org/spreadsheetml/2006/main">
  <authors>
    <author>Nina Sutjiawan</author>
  </authors>
  <commentList>
    <comment ref="E66" authorId="0" shapeId="0">
      <text>
        <r>
          <rPr>
            <sz val="9"/>
            <color indexed="81"/>
            <rFont val="Tahoma"/>
            <family val="2"/>
          </rPr>
          <t xml:space="preserve">Please enter the total amount in $AUD that you wish to pay to the visitor.
This amount should ideally match the formal letter / correspondence with the visiting academic - being the agreed amount between UQ and the visitor. 
This amount is a gross amount and does not reflect the amount to be received by the visitor. </t>
        </r>
      </text>
    </comment>
    <comment ref="K66" authorId="0" shapeId="0">
      <text>
        <r>
          <rPr>
            <sz val="9"/>
            <color indexed="81"/>
            <rFont val="Tahoma"/>
            <family val="2"/>
          </rPr>
          <t xml:space="preserve">Please enter the amount in $AUD that you wish to pay to the visitor for this claim.
This amount is a gross amount and does not reflect the amount to be received by the visitor. </t>
        </r>
      </text>
    </comment>
    <comment ref="E70" authorId="0" shapeId="0">
      <text>
        <r>
          <rPr>
            <b/>
            <sz val="9"/>
            <color indexed="81"/>
            <rFont val="Tahoma"/>
            <charset val="1"/>
          </rPr>
          <t xml:space="preserve">Commercial Accommodation: </t>
        </r>
        <r>
          <rPr>
            <sz val="9"/>
            <color indexed="81"/>
            <rFont val="Tahoma"/>
            <family val="2"/>
          </rPr>
          <t>accommodation usually associated with short stays, that generally would not have cooking and self catering facilities. For example, hotel room or studio apartment.</t>
        </r>
        <r>
          <rPr>
            <b/>
            <sz val="9"/>
            <color indexed="81"/>
            <rFont val="Tahoma"/>
            <charset val="1"/>
          </rPr>
          <t xml:space="preserve">
Non-Commercial Accommodation: </t>
        </r>
        <r>
          <rPr>
            <sz val="9"/>
            <color indexed="81"/>
            <rFont val="Tahoma"/>
            <family val="2"/>
          </rPr>
          <t xml:space="preserve">accommodation that is associated with longer stays, that contains a kitchen and self catering facilities. For example, a self contained apartment, rented house.
Note: Where "Non-Commercial" is selected, the maximum amount payable is 50% of the "Commercial" rate. 
</t>
        </r>
        <r>
          <rPr>
            <b/>
            <sz val="9"/>
            <color indexed="81"/>
            <rFont val="Tahoma"/>
            <family val="2"/>
          </rPr>
          <t>Allowance Excluding Accommodation:</t>
        </r>
        <r>
          <rPr>
            <sz val="9"/>
            <color indexed="81"/>
            <rFont val="Tahoma"/>
            <family val="2"/>
          </rPr>
          <t xml:space="preserve"> where accommodation has been paid for directly through Accounts Payable or on Corporate Card (and therefore should not be included in the allowance calculation).  </t>
        </r>
      </text>
    </comment>
    <comment ref="E74" authorId="0" shapeId="0">
      <text>
        <r>
          <rPr>
            <sz val="9"/>
            <color indexed="81"/>
            <rFont val="Tahoma"/>
            <family val="2"/>
          </rPr>
          <t>Maximum amount payable to visitor as per TD 2017/19. Payments in excess of this amount will be subject to withholding tax.</t>
        </r>
      </text>
    </comment>
    <comment ref="E78" authorId="0" shapeId="0">
      <text>
        <r>
          <rPr>
            <b/>
            <sz val="9"/>
            <color indexed="81"/>
            <rFont val="Tahoma"/>
            <family val="2"/>
          </rPr>
          <t>Allowance Excluding Accommodation:</t>
        </r>
        <r>
          <rPr>
            <sz val="9"/>
            <color indexed="81"/>
            <rFont val="Tahoma"/>
            <family val="2"/>
          </rPr>
          <t xml:space="preserve"> for a LAFHA the accommodation componant must be paid for directly through Accounts Payable or on Corporate Card (and therefore should not be included in the allowance calculation). If it is not paid for directly through Accounts Payable or on Corporate Card, the difference between the actual amount of accommodation incurred and the allowance paid </t>
        </r>
        <r>
          <rPr>
            <b/>
            <sz val="9"/>
            <color indexed="81"/>
            <rFont val="Tahoma"/>
            <family val="2"/>
          </rPr>
          <t xml:space="preserve">is subject to FBT. </t>
        </r>
        <r>
          <rPr>
            <sz val="9"/>
            <color indexed="81"/>
            <rFont val="Tahoma"/>
            <family val="2"/>
          </rPr>
          <t xml:space="preserve"> </t>
        </r>
      </text>
    </comment>
    <comment ref="E80" authorId="0" shapeId="0">
      <text>
        <r>
          <rPr>
            <sz val="9"/>
            <color indexed="81"/>
            <rFont val="Tahoma"/>
            <family val="2"/>
          </rPr>
          <t>Maximum amount payable to visitor as per TD 2017/5. Payments in excess of this amount will be subject to withholding tax.</t>
        </r>
      </text>
    </comment>
    <comment ref="E105" authorId="0" shapeId="0">
      <text>
        <r>
          <rPr>
            <sz val="9"/>
            <color indexed="81"/>
            <rFont val="Tahoma"/>
            <family val="2"/>
          </rPr>
          <t>This must be a physical address. Australian Federal government legislation requires that financial payments cannot be sent to a PO Box address.</t>
        </r>
      </text>
    </comment>
    <comment ref="E109" authorId="0" shapeId="0">
      <text>
        <r>
          <rPr>
            <sz val="9"/>
            <color indexed="81"/>
            <rFont val="Tahoma"/>
            <family val="2"/>
          </rPr>
          <t xml:space="preserve">The Bank, State &amp; Branch (BSB) Code is the part of the bank account number that indicates the bank and branch of the account.
</t>
        </r>
      </text>
    </comment>
    <comment ref="E110" authorId="0" shapeId="0">
      <text>
        <r>
          <rPr>
            <sz val="9"/>
            <color indexed="81"/>
            <rFont val="Tahoma"/>
            <family val="2"/>
          </rPr>
          <t xml:space="preserve">European account holders must provide an International Bank Account Number (IBAN). The IBAN adds greater security to cross-border transactions and reduces errors.
An IBAN consists of letters and numbers specific to your country and your account. 
For example: The UK IBAN has 22 numbers and letters starting with the GB (country code) 12 (individual security numbers) HSBC (bank code) 089299 (sort code) 389211110 (bank account number). 
Visiting academics are to ask their bank for this information. </t>
        </r>
      </text>
    </comment>
    <comment ref="E111" authorId="0" shapeId="0">
      <text>
        <r>
          <rPr>
            <sz val="9"/>
            <color indexed="81"/>
            <rFont val="Tahoma"/>
            <family val="2"/>
          </rPr>
          <t xml:space="preserve">Swift/BIC/ABA/Routing/Sort Codes are used in varying combinations by different countries. 
Visiting academics are to ask their bank for this information. </t>
        </r>
      </text>
    </comment>
  </commentList>
</comments>
</file>

<file path=xl/sharedStrings.xml><?xml version="1.0" encoding="utf-8"?>
<sst xmlns="http://schemas.openxmlformats.org/spreadsheetml/2006/main" count="242" uniqueCount="164">
  <si>
    <t>Meals</t>
  </si>
  <si>
    <t>Incidentals</t>
  </si>
  <si>
    <t>No</t>
  </si>
  <si>
    <t>[e.g. guest lecture on the ABC Conference, assisting research for ABC project]</t>
  </si>
  <si>
    <t xml:space="preserve">Accommodation type: </t>
  </si>
  <si>
    <t>Commercial</t>
  </si>
  <si>
    <t>Non-commercial</t>
  </si>
  <si>
    <t>E-mail</t>
  </si>
  <si>
    <t>Phone number</t>
  </si>
  <si>
    <t>(country code) / (area code) / (number)</t>
  </si>
  <si>
    <t xml:space="preserve">(bank name) / (branch) / (country) </t>
  </si>
  <si>
    <t>Bank account holder's name</t>
  </si>
  <si>
    <t>Title and full name</t>
  </si>
  <si>
    <t>Bank name / branch / country</t>
  </si>
  <si>
    <t>Bank account number</t>
  </si>
  <si>
    <t>BSB Code (Australian account only)</t>
  </si>
  <si>
    <t>IBAN (European account only)</t>
  </si>
  <si>
    <t>Maximum amount payable</t>
  </si>
  <si>
    <t>Opal</t>
  </si>
  <si>
    <t>Site</t>
  </si>
  <si>
    <t>Function</t>
  </si>
  <si>
    <t>Project</t>
  </si>
  <si>
    <t>FFT</t>
  </si>
  <si>
    <t xml:space="preserve">Description </t>
  </si>
  <si>
    <t>Yes</t>
  </si>
  <si>
    <t>drop down info</t>
  </si>
  <si>
    <t xml:space="preserve">This payment to the visiting academic will be processed by: </t>
  </si>
  <si>
    <t xml:space="preserve">UniFi expense allocation </t>
  </si>
  <si>
    <t>Send this form to the relevant division as indicated above once completed.</t>
  </si>
  <si>
    <t>[The amount and account number is determined by FBS AP or HR Payroll depending on the applicability of withholding tax]</t>
  </si>
  <si>
    <t>5.   APPROVAL</t>
  </si>
  <si>
    <r>
      <t xml:space="preserve">This form must be completed </t>
    </r>
    <r>
      <rPr>
        <u/>
        <sz val="10"/>
        <color theme="1"/>
        <rFont val="Arial"/>
        <family val="2"/>
      </rPr>
      <t>electronically</t>
    </r>
    <r>
      <rPr>
        <sz val="10"/>
        <color theme="1"/>
        <rFont val="Arial"/>
        <family val="2"/>
      </rPr>
      <t xml:space="preserve"> by Finance and HR personnel before a payment can be made into the individual’s bank account. </t>
    </r>
  </si>
  <si>
    <t xml:space="preserve">  - is registered for an ABN [tax invoice is to be provided by the academic and processed as a normal payment]; </t>
  </si>
  <si>
    <t xml:space="preserve">2.    SERVICE AND PAYMENTS DETAIL                                             </t>
  </si>
  <si>
    <t xml:space="preserve">3.    PAYMENT PROCESSING AND ACCOUNT ALLOCATION IN UNIFI                                         </t>
  </si>
  <si>
    <t>Postal address &amp; country</t>
  </si>
  <si>
    <t>Swift/BIC/ABA/Routing/Sort code  (other international accounts)</t>
  </si>
  <si>
    <t>Accommodation allowance</t>
  </si>
  <si>
    <t>Meal allowance</t>
  </si>
  <si>
    <t>Incidentals allowance</t>
  </si>
  <si>
    <t>d) Maximum amount payable that may not be subject to withholding tax as per the ATO's travel allowances rate:</t>
  </si>
  <si>
    <t>Budget Holder's</t>
  </si>
  <si>
    <t>Financial Delegate</t>
  </si>
  <si>
    <t>Admin / Finance Officer's</t>
  </si>
  <si>
    <t xml:space="preserve">The following people have acknowledged that the information provided are true and correct at the time of approval, payment is in accordance to the University's PPL, supporting documentation has been supplied and checked, and funds are available and payment is approved. </t>
  </si>
  <si>
    <t xml:space="preserve">Name </t>
  </si>
  <si>
    <t>Ext:</t>
  </si>
  <si>
    <t>Signature &amp; Date</t>
  </si>
  <si>
    <t>United States</t>
  </si>
  <si>
    <t xml:space="preserve">  - is claiming a legitimate expense reimbursement with invoices/receipts as supporting documentation [the Non-Staff Expense</t>
  </si>
  <si>
    <t>Argentina</t>
  </si>
  <si>
    <t>Austria</t>
  </si>
  <si>
    <t>Belgium</t>
  </si>
  <si>
    <t>Canada</t>
  </si>
  <si>
    <t>China</t>
  </si>
  <si>
    <t>Czech Republic</t>
  </si>
  <si>
    <t>Denmark</t>
  </si>
  <si>
    <t>Fiji</t>
  </si>
  <si>
    <t>Germany</t>
  </si>
  <si>
    <t>Hungary</t>
  </si>
  <si>
    <t>India</t>
  </si>
  <si>
    <t>Indonesia</t>
  </si>
  <si>
    <t>Ireland</t>
  </si>
  <si>
    <t>Italy</t>
  </si>
  <si>
    <t>Kiribati</t>
  </si>
  <si>
    <t>Malaysia</t>
  </si>
  <si>
    <t>Malta</t>
  </si>
  <si>
    <t>Mexico</t>
  </si>
  <si>
    <t>Netherlands</t>
  </si>
  <si>
    <t>Papua New Guinea</t>
  </si>
  <si>
    <t>Philippines</t>
  </si>
  <si>
    <t>Poland</t>
  </si>
  <si>
    <t>Romania</t>
  </si>
  <si>
    <t>Russia</t>
  </si>
  <si>
    <t>Slovakia</t>
  </si>
  <si>
    <t>South Africa</t>
  </si>
  <si>
    <t>Spain</t>
  </si>
  <si>
    <t>Sri Lanka</t>
  </si>
  <si>
    <t>Sweden</t>
  </si>
  <si>
    <t>Switzerland</t>
  </si>
  <si>
    <t>Thailand</t>
  </si>
  <si>
    <t>Vietnam</t>
  </si>
  <si>
    <t>NOT LISTED</t>
  </si>
  <si>
    <t>Phillipines</t>
  </si>
  <si>
    <t>Is there PAYG?</t>
  </si>
  <si>
    <t>1a</t>
  </si>
  <si>
    <t>1b</t>
  </si>
  <si>
    <t>1c</t>
  </si>
  <si>
    <t>1d</t>
  </si>
  <si>
    <t>1e</t>
  </si>
  <si>
    <t>1f</t>
  </si>
  <si>
    <t>Turkey</t>
  </si>
  <si>
    <t>Chile</t>
  </si>
  <si>
    <t>Does the individual have a fixed base in Australia for the purpose of conducting income producing activities?</t>
  </si>
  <si>
    <r>
      <t xml:space="preserve">Is the individual in Australia for a period of 183 days or more in any 12 month period </t>
    </r>
    <r>
      <rPr>
        <u/>
        <sz val="8"/>
        <color theme="1"/>
        <rFont val="Arial"/>
        <family val="2"/>
      </rPr>
      <t>OR</t>
    </r>
    <r>
      <rPr>
        <sz val="8"/>
        <color theme="1"/>
        <rFont val="Arial"/>
        <family val="2"/>
      </rPr>
      <t xml:space="preserve"> has a fixed place of business in Australia?</t>
    </r>
  </si>
  <si>
    <r>
      <t xml:space="preserve">Is the individual in Australia for a period of 120 days or more in any 12 month period </t>
    </r>
    <r>
      <rPr>
        <u/>
        <sz val="8"/>
        <color theme="1"/>
        <rFont val="Arial"/>
        <family val="2"/>
      </rPr>
      <t>OR</t>
    </r>
    <r>
      <rPr>
        <sz val="8"/>
        <color theme="1"/>
        <rFont val="Arial"/>
        <family val="2"/>
      </rPr>
      <t xml:space="preserve"> has a fixed place of business in Australia?</t>
    </r>
  </si>
  <si>
    <t xml:space="preserve">a) Details of visit : </t>
  </si>
  <si>
    <t>Start date:</t>
  </si>
  <si>
    <t>End date:</t>
  </si>
  <si>
    <t>Total days:</t>
  </si>
  <si>
    <r>
      <t xml:space="preserve">Is the individual in Australia for a period of 183 days or more in any financial year </t>
    </r>
    <r>
      <rPr>
        <u/>
        <sz val="8"/>
        <color theme="1"/>
        <rFont val="Arial"/>
        <family val="2"/>
      </rPr>
      <t>OR</t>
    </r>
    <r>
      <rPr>
        <sz val="8"/>
        <color theme="1"/>
        <rFont val="Arial"/>
        <family val="2"/>
      </rPr>
      <t xml:space="preserve"> has a fixed place of business in Australia?</t>
    </r>
  </si>
  <si>
    <t>Fund</t>
  </si>
  <si>
    <t xml:space="preserve">A "fixed base" is a distinct place / established post or office with a degree of permanance.  </t>
  </si>
  <si>
    <t>Allowance Excluding Accommodation</t>
  </si>
  <si>
    <t>Taxable amount</t>
  </si>
  <si>
    <t>Non-taxable amount</t>
  </si>
  <si>
    <t>Employee</t>
  </si>
  <si>
    <t>Independent contractor</t>
  </si>
  <si>
    <t>1g</t>
  </si>
  <si>
    <t xml:space="preserve">  Withholding on full amount as no DTA in place and stay is 90 days or more.</t>
  </si>
  <si>
    <t xml:space="preserve">  No withholding as DTA contains professor/teacher clause &amp; visit is less than 2 years.</t>
  </si>
  <si>
    <t xml:space="preserve">  Withholding on full amount as academic meets definition of employee as per 1(f).</t>
  </si>
  <si>
    <t xml:space="preserve">  Withholding due to DTA and answer at 1(g).</t>
  </si>
  <si>
    <t xml:space="preserve">  Withholding on full amount as not travelling away from normal residence per 1(b).</t>
  </si>
  <si>
    <t>Withhold</t>
  </si>
  <si>
    <t>No With</t>
  </si>
  <si>
    <t xml:space="preserve">  No withholding as stay is less than 90 days and allowance within ATO limits.</t>
  </si>
  <si>
    <t xml:space="preserve">  Withholding as stay is less than 90 days but allowance exceeds ATO limits.</t>
  </si>
  <si>
    <t>Table 1: Amounts of reasonable food and drink - within Australia</t>
  </si>
  <si>
    <r>
      <t>Per week</t>
    </r>
    <r>
      <rPr>
        <sz val="10"/>
        <color rgb="FF000000"/>
        <rFont val="Arial"/>
        <family val="2"/>
      </rPr>
      <t> </t>
    </r>
  </si>
  <si>
    <t>$</t>
  </si>
  <si>
    <t>One adult</t>
  </si>
  <si>
    <t>Two adults</t>
  </si>
  <si>
    <t>Three adults</t>
  </si>
  <si>
    <t>One adult and one child</t>
  </si>
  <si>
    <t>Two adults and one child</t>
  </si>
  <si>
    <t>Two adults and two children</t>
  </si>
  <si>
    <t>Two adults and three children</t>
  </si>
  <si>
    <t>Three adults and one child</t>
  </si>
  <si>
    <t>Three adults and two children</t>
  </si>
  <si>
    <t>Four adults</t>
  </si>
  <si>
    <t>e) Maximum amount payable that may not be subject to withholding tax as per the ATO's LAFHA rate:</t>
  </si>
  <si>
    <t>f) Is there any withholding tax?</t>
  </si>
  <si>
    <t>1h</t>
  </si>
  <si>
    <t xml:space="preserve">  No withholding as stay is less than 365 days and allowance within ATO LAFHA limits.</t>
  </si>
  <si>
    <t xml:space="preserve">  Withholding as stay is less than 365 days but allowance exceeds ATO LAHFA limits.</t>
  </si>
  <si>
    <t xml:space="preserve">  Withholding on full amount as country of residence is Australia and stay is 365 days or more.</t>
  </si>
  <si>
    <t>1i</t>
  </si>
  <si>
    <t xml:space="preserve">  Withholding on full amount as individual is not maintaining a home in Australia available for use at all times</t>
  </si>
  <si>
    <t xml:space="preserve">  No withholding due to DTA and answers at 1(f) and 1(g).</t>
  </si>
  <si>
    <t>Korea, Republic of</t>
  </si>
  <si>
    <t xml:space="preserve">  - requests for payment to be made to the academic’s employer (i.e. an organisation / other university / company as opposed to the individual</t>
  </si>
  <si>
    <t xml:space="preserve">    Reimbursement Form is required to be completed and can be found in FBS Online Forms – Accounts Payable section].</t>
  </si>
  <si>
    <t xml:space="preserve">    themselves) [tax invoice is to be provided by the third party and processed as a normal payment]; or</t>
  </si>
  <si>
    <r>
      <t xml:space="preserve">DO NOT USE THIS FORM </t>
    </r>
    <r>
      <rPr>
        <sz val="10"/>
        <color theme="1"/>
        <rFont val="Arial"/>
        <family val="2"/>
      </rPr>
      <t>if the visiting academic:</t>
    </r>
    <r>
      <rPr>
        <b/>
        <sz val="10"/>
        <color theme="1"/>
        <rFont val="Arial"/>
        <family val="2"/>
      </rPr>
      <t xml:space="preserve"> </t>
    </r>
  </si>
  <si>
    <t xml:space="preserve">1.    VISITING ACADEMIC RESIDENCY STATUS </t>
  </si>
  <si>
    <t>a)  Is the visiting academic’s country of residence Australia?</t>
  </si>
  <si>
    <r>
      <t xml:space="preserve">Amount to be paid in </t>
    </r>
    <r>
      <rPr>
        <b/>
        <sz val="10"/>
        <color theme="1"/>
        <rFont val="Arial"/>
        <family val="2"/>
      </rPr>
      <t xml:space="preserve">this </t>
    </r>
    <r>
      <rPr>
        <sz val="10"/>
        <color theme="1"/>
        <rFont val="Arial"/>
        <family val="2"/>
      </rPr>
      <t>claim:</t>
    </r>
  </si>
  <si>
    <r>
      <t xml:space="preserve">c) Amount to be paid in </t>
    </r>
    <r>
      <rPr>
        <b/>
        <sz val="10"/>
        <color theme="1"/>
        <rFont val="Arial"/>
        <family val="2"/>
      </rPr>
      <t>total</t>
    </r>
    <r>
      <rPr>
        <sz val="10"/>
        <color theme="1"/>
        <rFont val="Arial"/>
        <family val="2"/>
      </rPr>
      <t xml:space="preserve">: </t>
    </r>
  </si>
  <si>
    <t>b) Total Period of visit:</t>
  </si>
  <si>
    <t>Last date of claim:</t>
  </si>
  <si>
    <t>First date of claim:</t>
  </si>
  <si>
    <t>Total days of claim:</t>
  </si>
  <si>
    <r>
      <t>Period</t>
    </r>
    <r>
      <rPr>
        <b/>
        <sz val="10"/>
        <color theme="1"/>
        <rFont val="Arial"/>
        <family val="2"/>
      </rPr>
      <t xml:space="preserve"> this</t>
    </r>
    <r>
      <rPr>
        <sz val="10"/>
        <color theme="1"/>
        <rFont val="Arial"/>
        <family val="2"/>
      </rPr>
      <t xml:space="preserve"> claim covers:</t>
    </r>
  </si>
  <si>
    <t xml:space="preserve">4.   VISITING ACADEMIC'S PERSONAL &amp; BANK DETAILS                   </t>
  </si>
  <si>
    <t xml:space="preserve">  - is entering on a 407 (Occupational Trainee) visa  [use the Occupational Trainee Payment/Visiting Research Student  Detail form instead]</t>
  </si>
  <si>
    <t xml:space="preserve">  - is a visiting research student  [use the Occupational Trainee/Visiting Research Student Payment Detail form instead]</t>
  </si>
  <si>
    <t>VISITING ACADEMIC'S TITLE and FULL NAME:</t>
  </si>
  <si>
    <t>Taiwan</t>
  </si>
  <si>
    <r>
      <t xml:space="preserve">Is the individual in Australia for a period of 90 days or more in any financial year </t>
    </r>
    <r>
      <rPr>
        <u/>
        <sz val="8"/>
        <color theme="1"/>
        <rFont val="Arial"/>
        <family val="2"/>
      </rPr>
      <t>OR</t>
    </r>
    <r>
      <rPr>
        <sz val="8"/>
        <color theme="1"/>
        <rFont val="Arial"/>
        <family val="2"/>
      </rPr>
      <t xml:space="preserve"> has a fixed place of business in Australia?</t>
    </r>
  </si>
  <si>
    <t>TD 2019/7 contains the weekly amounts inserted below</t>
  </si>
  <si>
    <t>For 2019-20 per TD 2019/11</t>
  </si>
  <si>
    <t xml:space="preserve">2019/20 VISITING ACADEMIC 
PAYMENT REQUEST FORM </t>
  </si>
  <si>
    <t>Version 08.08.2019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</si>
</sst>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quot;$&quot;* #,##0.00_-;_-&quot;$&quot;* &quot;-&quot;??_-;_-@_-"/>
    <numFmt numFmtId="43" formatCode="_-* #,##0.00_-;\-* #,##0.00_-;_-* &quot;-&quot;??_-;_-@_-"/>
    <numFmt numFmtId="164" formatCode="d/mm/yyyy;@"/>
    <numFmt numFmtId="165" formatCode="_-[$$-C09]* #,##0.00_-;\-[$$-C09]* #,##0.00_-;_-[$$-C09]* &quot;-&quot;??_-;_-@_-"/>
    <numFmt numFmtId="166" formatCode="0000000"/>
    <numFmt numFmtId="167" formatCode="00"/>
    <numFmt numFmtId="168" formatCode="000000"/>
    <numFmt numFmtId="169" formatCode="_-* #,##0_-;\-* #,##0_-;_-* &quot;-&quot;??_-;_-@_-"/>
  </numFmts>
  <fonts count="27" x14ac:knownFonts="1">
    <font>
      <sz val="11"/>
      <color theme="1"/>
      <name val="Calibri"/>
      <family val="2"/>
      <scheme val="minor"/>
    </font>
    <font>
      <sz val="10"/>
      <name val="Arial"/>
    </font>
    <font>
      <b/>
      <sz val="9"/>
      <color indexed="81"/>
      <name val="Tahoma"/>
      <charset val="1"/>
    </font>
    <font>
      <sz val="9"/>
      <color indexed="81"/>
      <name val="Tahoma"/>
      <family val="2"/>
    </font>
    <font>
      <sz val="11"/>
      <color theme="1"/>
      <name val="Calibri"/>
      <family val="2"/>
      <scheme val="minor"/>
    </font>
    <font>
      <u/>
      <sz val="11"/>
      <color theme="10"/>
      <name val="Calibri"/>
      <family val="2"/>
      <scheme val="minor"/>
    </font>
    <font>
      <u/>
      <sz val="10"/>
      <color theme="10"/>
      <name val="Arial"/>
      <family val="2"/>
    </font>
    <font>
      <sz val="10"/>
      <color theme="1"/>
      <name val="Arial"/>
      <family val="2"/>
    </font>
    <font>
      <u/>
      <sz val="10"/>
      <color theme="1"/>
      <name val="Arial"/>
      <family val="2"/>
    </font>
    <font>
      <b/>
      <sz val="10"/>
      <color theme="1"/>
      <name val="Arial"/>
      <family val="2"/>
    </font>
    <font>
      <sz val="10"/>
      <color rgb="FFC00000"/>
      <name val="Arial"/>
      <family val="2"/>
    </font>
    <font>
      <sz val="10"/>
      <name val="Arial"/>
      <family val="2"/>
    </font>
    <font>
      <sz val="10"/>
      <color theme="1" tint="0.499984740745262"/>
      <name val="Arial"/>
      <family val="2"/>
    </font>
    <font>
      <sz val="10"/>
      <color rgb="FFFF0000"/>
      <name val="Arial"/>
      <family val="2"/>
    </font>
    <font>
      <b/>
      <sz val="10"/>
      <color rgb="FFFF0000"/>
      <name val="Arial"/>
      <family val="2"/>
    </font>
    <font>
      <sz val="9"/>
      <color rgb="FFC00000"/>
      <name val="Arial"/>
      <family val="2"/>
    </font>
    <font>
      <sz val="9"/>
      <name val="Arial"/>
      <family val="2"/>
    </font>
    <font>
      <b/>
      <sz val="10"/>
      <color rgb="FFC00000"/>
      <name val="Arial"/>
      <family val="2"/>
    </font>
    <font>
      <b/>
      <sz val="18"/>
      <color theme="1"/>
      <name val="Calibri"/>
      <family val="2"/>
    </font>
    <font>
      <sz val="8"/>
      <color theme="1"/>
      <name val="Arial"/>
      <family val="2"/>
    </font>
    <font>
      <u/>
      <sz val="8"/>
      <color theme="1"/>
      <name val="Arial"/>
      <family val="2"/>
    </font>
    <font>
      <b/>
      <sz val="9"/>
      <color indexed="81"/>
      <name val="Tahoma"/>
      <family val="2"/>
    </font>
    <font>
      <i/>
      <sz val="8"/>
      <name val="Arial"/>
      <family val="2"/>
    </font>
    <font>
      <sz val="10"/>
      <color rgb="FF000000"/>
      <name val="Arial"/>
      <family val="2"/>
    </font>
    <font>
      <sz val="8"/>
      <color rgb="FFFF0000"/>
      <name val="Arial"/>
      <family val="2"/>
    </font>
    <font>
      <sz val="7"/>
      <color rgb="FFC00000"/>
      <name val="Arial"/>
      <family val="2"/>
    </font>
    <font>
      <sz val="8"/>
      <color rgb="FFC00000"/>
      <name val="Arial"/>
      <family val="2"/>
    </font>
  </fonts>
  <fills count="12">
    <fill>
      <patternFill patternType="none"/>
    </fill>
    <fill>
      <patternFill patternType="gray125"/>
    </fill>
    <fill>
      <patternFill patternType="solid">
        <fgColor theme="0" tint="-0.34998626667073579"/>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6"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44" fontId="4" fillId="0" borderId="0" applyFont="0" applyFill="0" applyBorder="0" applyAlignment="0" applyProtection="0"/>
  </cellStyleXfs>
  <cellXfs count="119">
    <xf numFmtId="0" fontId="0" fillId="0" borderId="0" xfId="0"/>
    <xf numFmtId="0" fontId="7" fillId="0" borderId="0" xfId="0" applyFont="1" applyFill="1"/>
    <xf numFmtId="0" fontId="19" fillId="0" borderId="0" xfId="0" applyFont="1" applyFill="1"/>
    <xf numFmtId="0" fontId="19" fillId="0" borderId="0" xfId="0" applyFont="1"/>
    <xf numFmtId="0" fontId="12" fillId="0" borderId="12" xfId="1" applyFont="1" applyFill="1" applyBorder="1" applyAlignment="1" applyProtection="1">
      <alignment horizontal="center" vertical="top"/>
      <protection locked="0"/>
    </xf>
    <xf numFmtId="0" fontId="12" fillId="0" borderId="10" xfId="1" applyFont="1" applyFill="1" applyBorder="1" applyAlignment="1" applyProtection="1">
      <alignment horizontal="center" vertical="top"/>
      <protection locked="0"/>
    </xf>
    <xf numFmtId="0" fontId="12" fillId="0" borderId="11" xfId="1" applyFont="1" applyFill="1" applyBorder="1" applyAlignment="1" applyProtection="1">
      <alignment horizontal="center" vertical="top"/>
      <protection locked="0"/>
    </xf>
    <xf numFmtId="0" fontId="7" fillId="3" borderId="1" xfId="0" applyFont="1" applyFill="1" applyBorder="1" applyAlignment="1" applyProtection="1">
      <alignment horizontal="center"/>
      <protection locked="0"/>
    </xf>
    <xf numFmtId="0" fontId="0" fillId="0" borderId="0" xfId="0" applyProtection="1"/>
    <xf numFmtId="0" fontId="0" fillId="0" borderId="0" xfId="0" applyFill="1" applyProtection="1"/>
    <xf numFmtId="0" fontId="7" fillId="0" borderId="0" xfId="0" applyFont="1" applyProtection="1"/>
    <xf numFmtId="0" fontId="7" fillId="0" borderId="0" xfId="0" applyFont="1" applyFill="1" applyProtection="1"/>
    <xf numFmtId="0" fontId="7" fillId="0" borderId="0" xfId="0" applyFont="1" applyAlignment="1" applyProtection="1">
      <alignment vertical="center"/>
    </xf>
    <xf numFmtId="0" fontId="9" fillId="0" borderId="0" xfId="0" applyFont="1" applyAlignment="1" applyProtection="1">
      <alignment vertical="center"/>
    </xf>
    <xf numFmtId="0" fontId="7" fillId="0" borderId="0" xfId="0" applyFont="1" applyAlignment="1" applyProtection="1"/>
    <xf numFmtId="0" fontId="7" fillId="0" borderId="0" xfId="0" applyFont="1" applyFill="1" applyAlignment="1" applyProtection="1"/>
    <xf numFmtId="0" fontId="7" fillId="0" borderId="0" xfId="0" applyFont="1" applyAlignment="1" applyProtection="1">
      <alignment horizontal="left" vertical="center"/>
    </xf>
    <xf numFmtId="0" fontId="7" fillId="0" borderId="0" xfId="0" applyFont="1" applyAlignment="1" applyProtection="1">
      <alignment horizontal="left" vertical="center" wrapText="1"/>
    </xf>
    <xf numFmtId="0" fontId="9" fillId="2" borderId="0" xfId="0" applyFont="1" applyFill="1" applyAlignment="1" applyProtection="1">
      <alignment vertical="center"/>
    </xf>
    <xf numFmtId="0" fontId="7" fillId="2" borderId="0" xfId="0" applyFont="1" applyFill="1" applyProtection="1"/>
    <xf numFmtId="0" fontId="7" fillId="2" borderId="0" xfId="0" applyFont="1" applyFill="1" applyAlignment="1" applyProtection="1">
      <alignment horizontal="right"/>
    </xf>
    <xf numFmtId="0" fontId="9" fillId="0" borderId="0" xfId="0" applyFont="1" applyFill="1" applyAlignment="1" applyProtection="1">
      <alignment vertical="center"/>
    </xf>
    <xf numFmtId="0" fontId="7" fillId="0" borderId="0" xfId="0" applyFont="1" applyAlignment="1" applyProtection="1">
      <alignment horizontal="left" vertical="center" indent="2"/>
    </xf>
    <xf numFmtId="0" fontId="10" fillId="0" borderId="0" xfId="0" applyFont="1" applyAlignment="1" applyProtection="1"/>
    <xf numFmtId="0" fontId="7" fillId="0" borderId="0" xfId="0" applyFont="1" applyFill="1" applyAlignment="1" applyProtection="1">
      <alignment horizontal="left" vertical="center" indent="2"/>
    </xf>
    <xf numFmtId="0" fontId="7" fillId="0" borderId="0" xfId="0" applyFont="1" applyFill="1" applyAlignment="1" applyProtection="1">
      <alignment horizontal="center"/>
    </xf>
    <xf numFmtId="0" fontId="10" fillId="0" borderId="0" xfId="0" applyFont="1" applyProtection="1"/>
    <xf numFmtId="0" fontId="19" fillId="0" borderId="0" xfId="0" applyFont="1" applyProtection="1"/>
    <xf numFmtId="0" fontId="7" fillId="0" borderId="0" xfId="0" applyFont="1" applyFill="1" applyAlignment="1" applyProtection="1">
      <alignment horizontal="left" vertical="top" indent="2"/>
    </xf>
    <xf numFmtId="0" fontId="11" fillId="0" borderId="0" xfId="1" applyFont="1" applyAlignment="1" applyProtection="1">
      <alignment horizontal="left" indent="2"/>
    </xf>
    <xf numFmtId="0" fontId="11" fillId="0" borderId="0" xfId="1" applyFont="1" applyProtection="1"/>
    <xf numFmtId="0" fontId="11" fillId="0" borderId="1" xfId="1" applyFont="1" applyFill="1" applyBorder="1" applyAlignment="1" applyProtection="1">
      <alignment horizontal="center"/>
    </xf>
    <xf numFmtId="0" fontId="7" fillId="0" borderId="0" xfId="0" applyFont="1" applyAlignment="1" applyProtection="1">
      <alignment horizontal="left" indent="2"/>
    </xf>
    <xf numFmtId="0" fontId="13" fillId="0" borderId="0" xfId="0" applyFont="1" applyFill="1" applyProtection="1"/>
    <xf numFmtId="0" fontId="14" fillId="0" borderId="0" xfId="0" applyFont="1" applyBorder="1" applyAlignment="1" applyProtection="1">
      <alignment horizontal="left" indent="2"/>
    </xf>
    <xf numFmtId="0" fontId="7" fillId="0" borderId="0" xfId="0" applyFont="1" applyBorder="1" applyProtection="1"/>
    <xf numFmtId="0" fontId="11" fillId="0" borderId="0" xfId="1" applyFont="1" applyAlignment="1" applyProtection="1">
      <alignment horizontal="left" indent="1"/>
    </xf>
    <xf numFmtId="0" fontId="16" fillId="0" borderId="0" xfId="0" applyFont="1" applyProtection="1"/>
    <xf numFmtId="0" fontId="15" fillId="0" borderId="0" xfId="0" applyFont="1" applyProtection="1"/>
    <xf numFmtId="0" fontId="17" fillId="0" borderId="0" xfId="0" applyFont="1" applyProtection="1"/>
    <xf numFmtId="0" fontId="10" fillId="0" borderId="0" xfId="0" applyFont="1" applyFill="1" applyProtection="1"/>
    <xf numFmtId="0" fontId="7" fillId="0" borderId="0" xfId="0" applyFont="1" applyFill="1" applyAlignment="1" applyProtection="1">
      <alignment horizontal="left" vertical="center"/>
    </xf>
    <xf numFmtId="0" fontId="7" fillId="0" borderId="0" xfId="0" applyFont="1" applyFill="1" applyAlignment="1" applyProtection="1">
      <alignment horizontal="center" vertical="center"/>
    </xf>
    <xf numFmtId="0" fontId="7" fillId="0" borderId="0" xfId="0" applyFont="1" applyFill="1" applyAlignment="1" applyProtection="1">
      <alignment horizontal="right"/>
    </xf>
    <xf numFmtId="0" fontId="9" fillId="0" borderId="0" xfId="0" applyFont="1" applyFill="1" applyAlignment="1" applyProtection="1">
      <alignment horizontal="left" vertical="center"/>
    </xf>
    <xf numFmtId="0" fontId="7" fillId="0" borderId="0" xfId="0" applyFont="1" applyFill="1" applyAlignment="1" applyProtection="1">
      <alignment horizontal="left" vertical="center" wrapText="1"/>
    </xf>
    <xf numFmtId="0" fontId="12" fillId="0" borderId="0" xfId="1" applyFont="1" applyFill="1" applyBorder="1" applyAlignment="1" applyProtection="1">
      <alignment horizontal="center" vertical="top"/>
    </xf>
    <xf numFmtId="166" fontId="7" fillId="3" borderId="1" xfId="0" applyNumberFormat="1" applyFont="1" applyFill="1" applyBorder="1" applyAlignment="1" applyProtection="1">
      <alignment horizontal="center"/>
      <protection locked="0"/>
    </xf>
    <xf numFmtId="167" fontId="7" fillId="3" borderId="1" xfId="0" applyNumberFormat="1" applyFont="1" applyFill="1" applyBorder="1" applyAlignment="1" applyProtection="1">
      <alignment horizontal="center"/>
      <protection locked="0"/>
    </xf>
    <xf numFmtId="168" fontId="7" fillId="3" borderId="1" xfId="0" applyNumberFormat="1" applyFont="1" applyFill="1" applyBorder="1" applyAlignment="1" applyProtection="1">
      <alignment horizontal="center"/>
      <protection locked="0"/>
    </xf>
    <xf numFmtId="0" fontId="9" fillId="0" borderId="6" xfId="0" applyFont="1" applyFill="1" applyBorder="1" applyAlignment="1" applyProtection="1">
      <alignment vertical="center"/>
      <protection locked="0"/>
    </xf>
    <xf numFmtId="0" fontId="7" fillId="0" borderId="7" xfId="0" applyFont="1" applyFill="1" applyBorder="1" applyProtection="1">
      <protection locked="0"/>
    </xf>
    <xf numFmtId="0" fontId="7" fillId="0" borderId="8" xfId="0" applyFont="1" applyFill="1" applyBorder="1" applyProtection="1">
      <protection locked="0"/>
    </xf>
    <xf numFmtId="0" fontId="9" fillId="0" borderId="6" xfId="0" applyFont="1" applyFill="1" applyBorder="1" applyProtection="1">
      <protection locked="0"/>
    </xf>
    <xf numFmtId="0" fontId="9" fillId="0" borderId="7" xfId="0" applyFont="1" applyFill="1" applyBorder="1" applyProtection="1">
      <protection locked="0"/>
    </xf>
    <xf numFmtId="0" fontId="9" fillId="0" borderId="8" xfId="0" applyFont="1" applyFill="1" applyBorder="1" applyProtection="1">
      <protection locked="0"/>
    </xf>
    <xf numFmtId="0" fontId="7" fillId="0" borderId="9" xfId="0" applyFont="1" applyFill="1" applyBorder="1" applyProtection="1">
      <protection locked="0"/>
    </xf>
    <xf numFmtId="0" fontId="7" fillId="0" borderId="0" xfId="0" applyFont="1" applyFill="1" applyBorder="1" applyProtection="1">
      <protection locked="0"/>
    </xf>
    <xf numFmtId="0" fontId="7" fillId="0" borderId="5" xfId="0" applyFont="1" applyFill="1" applyBorder="1" applyProtection="1">
      <protection locked="0"/>
    </xf>
    <xf numFmtId="0" fontId="7" fillId="0" borderId="10"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left" vertical="center" wrapText="1"/>
      <protection locked="0"/>
    </xf>
    <xf numFmtId="0" fontId="11" fillId="0" borderId="13" xfId="1" applyFont="1" applyFill="1" applyBorder="1" applyAlignment="1" applyProtection="1">
      <alignment horizontal="center"/>
    </xf>
    <xf numFmtId="0" fontId="6" fillId="0" borderId="0" xfId="4" applyFont="1" applyProtection="1"/>
    <xf numFmtId="0" fontId="15" fillId="0" borderId="0" xfId="1" applyFont="1" applyProtection="1"/>
    <xf numFmtId="0" fontId="22" fillId="0" borderId="0" xfId="4" applyFont="1" applyAlignment="1" applyProtection="1">
      <alignment vertical="center"/>
    </xf>
    <xf numFmtId="0" fontId="19" fillId="4" borderId="0" xfId="0" applyFont="1" applyFill="1"/>
    <xf numFmtId="0" fontId="19" fillId="5" borderId="0" xfId="0" applyFont="1" applyFill="1"/>
    <xf numFmtId="0" fontId="19" fillId="6" borderId="0" xfId="0" applyFont="1" applyFill="1"/>
    <xf numFmtId="169" fontId="19" fillId="5" borderId="0" xfId="5" applyNumberFormat="1" applyFont="1" applyFill="1"/>
    <xf numFmtId="169" fontId="19" fillId="6" borderId="0" xfId="5" applyNumberFormat="1" applyFont="1" applyFill="1"/>
    <xf numFmtId="169" fontId="19" fillId="4" borderId="0" xfId="5" applyNumberFormat="1" applyFont="1" applyFill="1"/>
    <xf numFmtId="169" fontId="19" fillId="0" borderId="0" xfId="5" applyNumberFormat="1" applyFont="1"/>
    <xf numFmtId="0" fontId="19" fillId="7" borderId="0" xfId="0" applyFont="1" applyFill="1"/>
    <xf numFmtId="169" fontId="19" fillId="7" borderId="0" xfId="5" applyNumberFormat="1" applyFont="1" applyFill="1"/>
    <xf numFmtId="0" fontId="19" fillId="8" borderId="0" xfId="0" applyFont="1" applyFill="1"/>
    <xf numFmtId="169" fontId="19" fillId="8" borderId="0" xfId="5" applyNumberFormat="1" applyFont="1" applyFill="1"/>
    <xf numFmtId="0" fontId="19" fillId="0" borderId="0" xfId="0" applyFont="1" applyFill="1" applyAlignment="1">
      <alignment horizontal="left"/>
    </xf>
    <xf numFmtId="43" fontId="19" fillId="0" borderId="0" xfId="5" applyFont="1" applyFill="1" applyAlignment="1">
      <alignment horizontal="left"/>
    </xf>
    <xf numFmtId="0" fontId="19" fillId="9" borderId="0" xfId="0" applyFont="1" applyFill="1"/>
    <xf numFmtId="169" fontId="19" fillId="9" borderId="0" xfId="5" applyNumberFormat="1" applyFont="1" applyFill="1"/>
    <xf numFmtId="0" fontId="19" fillId="10" borderId="0" xfId="0" applyFont="1" applyFill="1"/>
    <xf numFmtId="0" fontId="24" fillId="0" borderId="0" xfId="0" applyFont="1" applyFill="1"/>
    <xf numFmtId="0" fontId="13" fillId="0" borderId="0" xfId="0" applyFont="1" applyFill="1"/>
    <xf numFmtId="0" fontId="25" fillId="0" borderId="0" xfId="1" applyFont="1" applyProtection="1"/>
    <xf numFmtId="0" fontId="7" fillId="0" borderId="0" xfId="0" applyFont="1" applyAlignment="1" applyProtection="1">
      <alignment horizontal="right"/>
    </xf>
    <xf numFmtId="0" fontId="26" fillId="0" borderId="0" xfId="0" applyFont="1" applyAlignment="1" applyProtection="1"/>
    <xf numFmtId="0" fontId="7" fillId="0" borderId="0" xfId="0" quotePrefix="1" applyFont="1" applyAlignment="1" applyProtection="1">
      <alignment horizontal="left" vertical="center"/>
    </xf>
    <xf numFmtId="0" fontId="9" fillId="0" borderId="0" xfId="0" applyFont="1" applyProtection="1"/>
    <xf numFmtId="0" fontId="9" fillId="0" borderId="0" xfId="0" applyFont="1" applyFill="1" applyProtection="1"/>
    <xf numFmtId="0" fontId="7" fillId="0" borderId="0" xfId="0" applyFont="1" applyFill="1" applyBorder="1" applyAlignment="1" applyProtection="1">
      <alignment horizontal="center"/>
      <protection locked="0"/>
    </xf>
    <xf numFmtId="0" fontId="7" fillId="0" borderId="0" xfId="0" applyFont="1" applyFill="1" applyBorder="1" applyAlignment="1" applyProtection="1">
      <protection locked="0"/>
    </xf>
    <xf numFmtId="0" fontId="7" fillId="2" borderId="0" xfId="0" applyFont="1" applyFill="1" applyAlignment="1" applyProtection="1">
      <alignment horizontal="left" vertical="center" wrapText="1"/>
    </xf>
    <xf numFmtId="165" fontId="11" fillId="3" borderId="2" xfId="5" applyNumberFormat="1" applyFont="1" applyFill="1" applyBorder="1" applyAlignment="1" applyProtection="1">
      <alignment horizontal="center"/>
      <protection locked="0"/>
    </xf>
    <xf numFmtId="165" fontId="11" fillId="3" borderId="3" xfId="5" applyNumberFormat="1" applyFont="1" applyFill="1" applyBorder="1" applyAlignment="1" applyProtection="1">
      <alignment horizontal="center"/>
      <protection locked="0"/>
    </xf>
    <xf numFmtId="0" fontId="12" fillId="3" borderId="2" xfId="1" applyFont="1" applyFill="1" applyBorder="1" applyAlignment="1" applyProtection="1">
      <alignment horizontal="center" vertical="center" wrapText="1"/>
      <protection locked="0"/>
    </xf>
    <xf numFmtId="0" fontId="12" fillId="3" borderId="4" xfId="1" applyFont="1" applyFill="1" applyBorder="1" applyAlignment="1" applyProtection="1">
      <alignment horizontal="center" vertical="center" wrapText="1"/>
      <protection locked="0"/>
    </xf>
    <xf numFmtId="0" fontId="12" fillId="3" borderId="3" xfId="1" applyFont="1" applyFill="1" applyBorder="1" applyAlignment="1" applyProtection="1">
      <alignment horizontal="center" vertical="center" wrapText="1"/>
      <protection locked="0"/>
    </xf>
    <xf numFmtId="164" fontId="11" fillId="3" borderId="2" xfId="1" applyNumberFormat="1" applyFont="1" applyFill="1" applyBorder="1" applyAlignment="1" applyProtection="1">
      <alignment horizontal="center"/>
      <protection locked="0"/>
    </xf>
    <xf numFmtId="164" fontId="11" fillId="3" borderId="3" xfId="1" applyNumberFormat="1" applyFont="1" applyFill="1" applyBorder="1" applyAlignment="1" applyProtection="1">
      <alignment horizontal="center"/>
      <protection locked="0"/>
    </xf>
    <xf numFmtId="44" fontId="11" fillId="0" borderId="1" xfId="2" applyFont="1" applyBorder="1" applyAlignment="1" applyProtection="1">
      <alignment horizontal="center"/>
    </xf>
    <xf numFmtId="0" fontId="11" fillId="3" borderId="1" xfId="1" applyFont="1" applyFill="1" applyBorder="1" applyAlignment="1" applyProtection="1">
      <alignment horizontal="center"/>
      <protection locked="0"/>
    </xf>
    <xf numFmtId="0" fontId="12" fillId="3" borderId="2" xfId="1" applyFont="1" applyFill="1" applyBorder="1" applyAlignment="1" applyProtection="1">
      <alignment horizontal="center" vertical="top"/>
      <protection locked="0"/>
    </xf>
    <xf numFmtId="0" fontId="12" fillId="3" borderId="4" xfId="1" applyFont="1" applyFill="1" applyBorder="1" applyAlignment="1" applyProtection="1">
      <alignment horizontal="center" vertical="top"/>
      <protection locked="0"/>
    </xf>
    <xf numFmtId="0" fontId="12" fillId="3" borderId="3" xfId="1" applyFont="1" applyFill="1" applyBorder="1" applyAlignment="1" applyProtection="1">
      <alignment horizontal="center" vertical="top"/>
      <protection locked="0"/>
    </xf>
    <xf numFmtId="0" fontId="12" fillId="11" borderId="2" xfId="1" applyFont="1" applyFill="1" applyBorder="1" applyAlignment="1" applyProtection="1">
      <alignment horizontal="center" vertical="top"/>
      <protection locked="0"/>
    </xf>
    <xf numFmtId="0" fontId="12" fillId="11" borderId="4" xfId="1" applyFont="1" applyFill="1" applyBorder="1" applyAlignment="1" applyProtection="1">
      <alignment horizontal="center" vertical="top"/>
      <protection locked="0"/>
    </xf>
    <xf numFmtId="0" fontId="12" fillId="11" borderId="3" xfId="1" applyFont="1" applyFill="1" applyBorder="1" applyAlignment="1" applyProtection="1">
      <alignment horizontal="center" vertical="top"/>
      <protection locked="0"/>
    </xf>
    <xf numFmtId="0" fontId="7" fillId="0" borderId="0" xfId="0" applyFont="1" applyAlignment="1" applyProtection="1">
      <alignment horizontal="left" vertical="center" wrapText="1" indent="2"/>
    </xf>
    <xf numFmtId="0" fontId="7" fillId="0" borderId="5" xfId="0" applyFont="1" applyBorder="1" applyAlignment="1" applyProtection="1">
      <alignment horizontal="left" vertical="center" wrapText="1" indent="2"/>
    </xf>
    <xf numFmtId="0" fontId="12" fillId="3" borderId="2" xfId="1" applyFont="1" applyFill="1" applyBorder="1" applyAlignment="1" applyProtection="1">
      <alignment horizontal="center" vertical="top" wrapText="1"/>
      <protection locked="0"/>
    </xf>
    <xf numFmtId="0" fontId="12" fillId="3" borderId="4" xfId="1" applyFont="1" applyFill="1" applyBorder="1" applyAlignment="1" applyProtection="1">
      <alignment horizontal="center" vertical="top" wrapText="1"/>
      <protection locked="0"/>
    </xf>
    <xf numFmtId="0" fontId="12" fillId="3" borderId="3" xfId="1" applyFont="1" applyFill="1" applyBorder="1" applyAlignment="1" applyProtection="1">
      <alignment horizontal="center" vertical="top" wrapText="1"/>
      <protection locked="0"/>
    </xf>
    <xf numFmtId="0" fontId="18" fillId="0" borderId="0" xfId="0" applyFont="1" applyAlignment="1" applyProtection="1">
      <alignment horizontal="center" vertical="center" wrapText="1"/>
    </xf>
    <xf numFmtId="0" fontId="7" fillId="3" borderId="2" xfId="0" applyFont="1" applyFill="1" applyBorder="1" applyAlignment="1" applyProtection="1">
      <alignment horizontal="center"/>
      <protection locked="0"/>
    </xf>
    <xf numFmtId="0" fontId="7" fillId="3" borderId="3" xfId="0" applyFont="1" applyFill="1" applyBorder="1" applyAlignment="1" applyProtection="1">
      <alignment horizontal="center"/>
      <protection locked="0"/>
    </xf>
    <xf numFmtId="44" fontId="7" fillId="0" borderId="1" xfId="6" applyFont="1" applyBorder="1" applyAlignment="1" applyProtection="1">
      <alignment horizontal="center"/>
    </xf>
    <xf numFmtId="44" fontId="7" fillId="0" borderId="1" xfId="6" applyFont="1" applyFill="1" applyBorder="1" applyAlignment="1" applyProtection="1">
      <alignment horizontal="center"/>
    </xf>
    <xf numFmtId="0" fontId="7" fillId="3" borderId="4" xfId="0" applyFont="1" applyFill="1" applyBorder="1" applyAlignment="1" applyProtection="1">
      <alignment horizontal="center"/>
      <protection locked="0"/>
    </xf>
    <xf numFmtId="0" fontId="5" fillId="0" borderId="0" xfId="4" applyProtection="1"/>
  </cellXfs>
  <cellStyles count="7">
    <cellStyle name="Comma" xfId="5" builtinId="3"/>
    <cellStyle name="Currency" xfId="6" builtinId="4"/>
    <cellStyle name="Currency 2" xfId="2"/>
    <cellStyle name="Hyperlink" xfId="4" builtinId="8"/>
    <cellStyle name="Normal" xfId="0" builtinId="0"/>
    <cellStyle name="Normal 2" xfId="1"/>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714935</xdr:colOff>
      <xdr:row>0</xdr:row>
      <xdr:rowOff>77881</xdr:rowOff>
    </xdr:from>
    <xdr:to>
      <xdr:col>11</xdr:col>
      <xdr:colOff>285750</xdr:colOff>
      <xdr:row>0</xdr:row>
      <xdr:rowOff>542925</xdr:rowOff>
    </xdr:to>
    <xdr:pic>
      <xdr:nvPicPr>
        <xdr:cNvPr id="2" name="Picture 1" descr="UQlogoC-mono-M-do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20335" y="77881"/>
          <a:ext cx="1780615" cy="46504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oo.uq.edu.au/files/5702/contractor-employment-taxes-checklist.xlsx" TargetMode="External"/><Relationship Id="rId1" Type="http://schemas.openxmlformats.org/officeDocument/2006/relationships/hyperlink" Target="http://www.uq.edu.au/shared/resources/personnel/recruitment/VisitingAcad-appt.doc"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24"/>
  <sheetViews>
    <sheetView tabSelected="1" zoomScaleNormal="100" zoomScaleSheetLayoutView="100" workbookViewId="0">
      <selection activeCell="F3" sqref="F3:J3"/>
    </sheetView>
  </sheetViews>
  <sheetFormatPr defaultRowHeight="15" x14ac:dyDescent="0.25"/>
  <cols>
    <col min="1" max="1" width="11.140625" style="8" bestFit="1" customWidth="1"/>
    <col min="2" max="2" width="11.7109375" style="8" customWidth="1"/>
    <col min="3" max="6" width="9.140625" style="8"/>
    <col min="7" max="7" width="10.5703125" style="8" bestFit="1" customWidth="1"/>
    <col min="8" max="8" width="9.140625" style="8"/>
    <col min="9" max="9" width="14.85546875" style="8" customWidth="1"/>
    <col min="10" max="11" width="9.140625" style="8"/>
    <col min="12" max="12" width="8.140625" style="8" customWidth="1"/>
    <col min="13" max="16384" width="9.140625" style="9"/>
  </cols>
  <sheetData>
    <row r="1" spans="1:12" ht="50.25" customHeight="1" x14ac:dyDescent="0.25">
      <c r="A1" s="112" t="s">
        <v>162</v>
      </c>
      <c r="B1" s="112"/>
      <c r="C1" s="112"/>
      <c r="D1" s="112"/>
      <c r="E1" s="112"/>
      <c r="F1" s="112"/>
      <c r="G1" s="112"/>
      <c r="H1" s="112"/>
    </row>
    <row r="2" spans="1:12" s="11" customFormat="1" ht="12.75" x14ac:dyDescent="0.2">
      <c r="B2" s="10"/>
      <c r="C2" s="10"/>
      <c r="D2" s="10"/>
      <c r="E2" s="10"/>
      <c r="F2" s="10"/>
      <c r="G2" s="10"/>
      <c r="H2" s="10"/>
      <c r="I2" s="10"/>
      <c r="J2" s="10"/>
      <c r="K2" s="64" t="s">
        <v>163</v>
      </c>
      <c r="L2" s="10"/>
    </row>
    <row r="3" spans="1:12" s="11" customFormat="1" ht="12.75" x14ac:dyDescent="0.2">
      <c r="A3" s="87" t="s">
        <v>157</v>
      </c>
      <c r="B3" s="10"/>
      <c r="C3" s="10"/>
      <c r="D3" s="10"/>
      <c r="E3" s="90"/>
      <c r="F3" s="113"/>
      <c r="G3" s="117"/>
      <c r="H3" s="117"/>
      <c r="I3" s="117"/>
      <c r="J3" s="114"/>
      <c r="K3" s="10"/>
      <c r="L3" s="10"/>
    </row>
    <row r="4" spans="1:12" s="11" customFormat="1" ht="9" customHeight="1" x14ac:dyDescent="0.2">
      <c r="A4" s="88"/>
      <c r="E4" s="89"/>
      <c r="F4" s="89"/>
      <c r="G4" s="89"/>
      <c r="H4" s="89"/>
      <c r="I4" s="89"/>
    </row>
    <row r="5" spans="1:12" s="11" customFormat="1" ht="12.75" x14ac:dyDescent="0.2">
      <c r="A5" s="12" t="s">
        <v>31</v>
      </c>
      <c r="B5" s="10"/>
      <c r="C5" s="10"/>
      <c r="D5" s="10"/>
      <c r="E5" s="10"/>
      <c r="F5" s="10"/>
      <c r="G5" s="10"/>
      <c r="H5" s="10"/>
      <c r="I5" s="10"/>
      <c r="J5" s="10"/>
      <c r="K5" s="10"/>
      <c r="L5" s="10"/>
    </row>
    <row r="6" spans="1:12" s="11" customFormat="1" ht="12.75" x14ac:dyDescent="0.2">
      <c r="A6" s="12"/>
      <c r="B6" s="10"/>
      <c r="C6" s="10"/>
      <c r="D6" s="10"/>
      <c r="E6" s="10"/>
      <c r="F6" s="10"/>
      <c r="G6" s="10"/>
      <c r="H6" s="10"/>
      <c r="I6" s="10"/>
      <c r="J6" s="10"/>
      <c r="K6" s="10"/>
      <c r="L6" s="10"/>
    </row>
    <row r="7" spans="1:12" s="15" customFormat="1" ht="12.75" x14ac:dyDescent="0.2">
      <c r="A7" s="13" t="s">
        <v>144</v>
      </c>
      <c r="B7" s="14"/>
      <c r="C7" s="14"/>
      <c r="D7" s="14"/>
      <c r="E7" s="14"/>
      <c r="F7" s="14"/>
      <c r="G7" s="14"/>
      <c r="H7" s="14"/>
      <c r="I7" s="14"/>
      <c r="J7" s="14"/>
      <c r="K7" s="14"/>
      <c r="L7" s="14"/>
    </row>
    <row r="8" spans="1:12" s="15" customFormat="1" ht="12.75" x14ac:dyDescent="0.2">
      <c r="A8" s="16" t="s">
        <v>32</v>
      </c>
      <c r="B8" s="14"/>
      <c r="C8" s="14"/>
      <c r="D8" s="14"/>
      <c r="E8" s="14"/>
      <c r="F8" s="14"/>
      <c r="G8" s="14"/>
      <c r="H8" s="14"/>
      <c r="I8" s="14"/>
      <c r="J8" s="14"/>
      <c r="K8" s="14"/>
      <c r="L8" s="14"/>
    </row>
    <row r="9" spans="1:12" s="15" customFormat="1" ht="3.75" customHeight="1" x14ac:dyDescent="0.2">
      <c r="A9" s="16"/>
      <c r="B9" s="14"/>
      <c r="C9" s="14"/>
      <c r="D9" s="14"/>
      <c r="E9" s="14"/>
      <c r="F9" s="14"/>
      <c r="G9" s="14"/>
      <c r="H9" s="14"/>
      <c r="I9" s="14"/>
      <c r="J9" s="14"/>
      <c r="K9" s="14"/>
      <c r="L9" s="14"/>
    </row>
    <row r="10" spans="1:12" s="15" customFormat="1" ht="12.75" x14ac:dyDescent="0.2">
      <c r="A10" s="16" t="s">
        <v>141</v>
      </c>
      <c r="B10" s="16"/>
      <c r="C10" s="16"/>
      <c r="D10" s="16"/>
      <c r="E10" s="16"/>
      <c r="F10" s="16"/>
      <c r="G10" s="16"/>
      <c r="H10" s="16"/>
      <c r="I10" s="16"/>
      <c r="J10" s="16"/>
      <c r="K10" s="16"/>
      <c r="L10" s="16"/>
    </row>
    <row r="11" spans="1:12" s="15" customFormat="1" ht="12.75" x14ac:dyDescent="0.2">
      <c r="A11" s="16" t="s">
        <v>143</v>
      </c>
      <c r="B11" s="16"/>
      <c r="C11" s="16"/>
      <c r="D11" s="16"/>
      <c r="E11" s="16"/>
      <c r="F11" s="16"/>
      <c r="G11" s="16"/>
      <c r="H11" s="16"/>
      <c r="I11" s="16"/>
      <c r="J11" s="16"/>
      <c r="K11" s="16"/>
      <c r="L11" s="16"/>
    </row>
    <row r="12" spans="1:12" s="15" customFormat="1" ht="4.5" customHeight="1" x14ac:dyDescent="0.2">
      <c r="A12" s="16"/>
      <c r="B12" s="16"/>
      <c r="C12" s="16"/>
      <c r="D12" s="16"/>
      <c r="E12" s="16"/>
      <c r="F12" s="16"/>
      <c r="G12" s="16"/>
      <c r="H12" s="16"/>
      <c r="I12" s="16"/>
      <c r="J12" s="16"/>
      <c r="K12" s="16"/>
      <c r="L12" s="16"/>
    </row>
    <row r="13" spans="1:12" s="15" customFormat="1" ht="12.75" x14ac:dyDescent="0.2">
      <c r="A13" s="16" t="s">
        <v>49</v>
      </c>
      <c r="B13" s="16"/>
      <c r="C13" s="16"/>
      <c r="D13" s="16"/>
      <c r="E13" s="16"/>
      <c r="F13" s="16"/>
      <c r="G13" s="16"/>
      <c r="H13" s="16"/>
      <c r="I13" s="16"/>
      <c r="J13" s="16"/>
      <c r="K13" s="16"/>
      <c r="L13" s="16"/>
    </row>
    <row r="14" spans="1:12" s="15" customFormat="1" ht="12.75" x14ac:dyDescent="0.2">
      <c r="A14" s="16" t="s">
        <v>142</v>
      </c>
      <c r="B14" s="16"/>
      <c r="C14" s="16"/>
      <c r="D14" s="16"/>
      <c r="E14" s="16"/>
      <c r="F14" s="16"/>
      <c r="G14" s="16"/>
      <c r="H14" s="16"/>
      <c r="I14" s="16"/>
      <c r="J14" s="16"/>
      <c r="K14" s="16"/>
      <c r="L14" s="16"/>
    </row>
    <row r="15" spans="1:12" s="15" customFormat="1" ht="4.5" customHeight="1" x14ac:dyDescent="0.2">
      <c r="A15" s="16"/>
      <c r="B15" s="16"/>
      <c r="C15" s="16"/>
      <c r="D15" s="16"/>
      <c r="E15" s="16"/>
      <c r="F15" s="16"/>
      <c r="G15" s="16"/>
      <c r="H15" s="16"/>
      <c r="I15" s="16"/>
      <c r="J15" s="16"/>
      <c r="K15" s="16"/>
      <c r="L15" s="16"/>
    </row>
    <row r="16" spans="1:12" s="11" customFormat="1" ht="12.75" x14ac:dyDescent="0.2">
      <c r="A16" s="16" t="s">
        <v>155</v>
      </c>
      <c r="B16" s="17"/>
      <c r="C16" s="17"/>
      <c r="D16" s="17"/>
      <c r="E16" s="17"/>
      <c r="F16" s="17"/>
      <c r="G16" s="17"/>
      <c r="H16" s="17"/>
      <c r="I16" s="17"/>
      <c r="J16" s="17"/>
      <c r="K16" s="17"/>
      <c r="L16" s="17"/>
    </row>
    <row r="17" spans="1:12" s="11" customFormat="1" ht="3" customHeight="1" x14ac:dyDescent="0.2">
      <c r="A17" s="16"/>
      <c r="B17" s="17"/>
      <c r="C17" s="17"/>
      <c r="D17" s="17"/>
      <c r="E17" s="17"/>
      <c r="F17" s="17"/>
      <c r="G17" s="17"/>
      <c r="H17" s="17"/>
      <c r="I17" s="17"/>
      <c r="J17" s="17"/>
      <c r="K17" s="17"/>
      <c r="L17" s="17"/>
    </row>
    <row r="18" spans="1:12" s="11" customFormat="1" ht="12.75" x14ac:dyDescent="0.2">
      <c r="A18" s="86" t="s">
        <v>156</v>
      </c>
      <c r="B18" s="17"/>
      <c r="C18" s="17"/>
      <c r="D18" s="17"/>
      <c r="E18" s="17"/>
      <c r="F18" s="17"/>
      <c r="G18" s="17"/>
      <c r="H18" s="17"/>
      <c r="I18" s="17"/>
      <c r="J18" s="17"/>
      <c r="K18" s="17"/>
      <c r="L18" s="17"/>
    </row>
    <row r="19" spans="1:12" s="11" customFormat="1" ht="6.75" customHeight="1" x14ac:dyDescent="0.2">
      <c r="A19" s="86"/>
      <c r="B19" s="17"/>
      <c r="C19" s="17"/>
      <c r="D19" s="17"/>
      <c r="E19" s="17"/>
      <c r="F19" s="17"/>
      <c r="G19" s="17"/>
      <c r="H19" s="17"/>
      <c r="I19" s="17"/>
      <c r="J19" s="17"/>
      <c r="K19" s="17"/>
      <c r="L19" s="17"/>
    </row>
    <row r="20" spans="1:12" s="11" customFormat="1" ht="12.75" x14ac:dyDescent="0.2">
      <c r="A20" s="18" t="s">
        <v>145</v>
      </c>
      <c r="B20" s="19"/>
      <c r="C20" s="19"/>
      <c r="D20" s="19"/>
      <c r="E20" s="19"/>
      <c r="F20" s="19"/>
      <c r="G20" s="19"/>
      <c r="H20" s="19"/>
      <c r="I20" s="19"/>
      <c r="J20" s="19"/>
      <c r="K20" s="19"/>
      <c r="L20" s="20"/>
    </row>
    <row r="21" spans="1:12" s="11" customFormat="1" ht="6.75" customHeight="1" x14ac:dyDescent="0.2">
      <c r="A21" s="21"/>
      <c r="L21" s="43"/>
    </row>
    <row r="22" spans="1:12" s="11" customFormat="1" ht="3.75" customHeight="1" x14ac:dyDescent="0.2">
      <c r="A22" s="21"/>
      <c r="L22" s="43"/>
    </row>
    <row r="23" spans="1:12" s="11" customFormat="1" ht="12.75" x14ac:dyDescent="0.2">
      <c r="A23" s="22" t="s">
        <v>146</v>
      </c>
      <c r="B23" s="10"/>
      <c r="C23" s="10"/>
      <c r="D23" s="10"/>
      <c r="E23" s="10"/>
      <c r="F23" s="10"/>
      <c r="G23" s="10"/>
      <c r="H23" s="10"/>
      <c r="L23" s="10"/>
    </row>
    <row r="24" spans="1:12" s="11" customFormat="1" ht="12.75" x14ac:dyDescent="0.2">
      <c r="A24" s="22"/>
      <c r="B24" s="7"/>
      <c r="C24" s="23" t="str">
        <f>IF(B24="Yes","  (continue to 1b)",IF(B24="No","  (continue to 1b)",""))</f>
        <v/>
      </c>
      <c r="D24" s="14"/>
      <c r="E24" s="14"/>
      <c r="F24" s="10"/>
      <c r="G24" s="10"/>
      <c r="H24" s="10"/>
      <c r="I24" s="10"/>
      <c r="J24" s="10"/>
      <c r="L24" s="10"/>
    </row>
    <row r="25" spans="1:12" s="11" customFormat="1" ht="12.75" x14ac:dyDescent="0.2">
      <c r="A25" s="22"/>
      <c r="B25" s="14"/>
      <c r="C25" s="14"/>
      <c r="D25" s="14"/>
      <c r="E25" s="14"/>
      <c r="F25" s="10"/>
      <c r="G25" s="10"/>
      <c r="H25" s="10"/>
      <c r="I25" s="10"/>
      <c r="J25" s="10"/>
      <c r="L25" s="10"/>
    </row>
    <row r="26" spans="1:12" s="11" customFormat="1" ht="12.75" x14ac:dyDescent="0.2">
      <c r="A26" s="24" t="str">
        <f>IF(B24="No","b)  Is the visiting academic travelling away from the usual place of residence?",IF(B24="","","b)  Is the visiting academic travelling away from the usual place of residence?"))</f>
        <v/>
      </c>
      <c r="B26" s="25"/>
      <c r="C26" s="15"/>
      <c r="D26" s="15"/>
      <c r="E26" s="15"/>
      <c r="L26" s="10"/>
    </row>
    <row r="27" spans="1:12" s="11" customFormat="1" ht="12.75" x14ac:dyDescent="0.2">
      <c r="A27" s="24"/>
      <c r="B27" s="7"/>
      <c r="C27" s="23" t="str">
        <f>IF(B27="Yes","  (continue to 1c)",IF(B27="No","  (continue to section 2)",""))</f>
        <v/>
      </c>
      <c r="D27" s="15"/>
      <c r="E27" s="15"/>
      <c r="I27" s="10"/>
      <c r="J27" s="10"/>
      <c r="L27" s="10"/>
    </row>
    <row r="28" spans="1:12" s="11" customFormat="1" ht="12.75" x14ac:dyDescent="0.2">
      <c r="A28" s="24"/>
      <c r="B28" s="25"/>
      <c r="C28" s="15"/>
      <c r="D28" s="15"/>
      <c r="E28" s="15"/>
      <c r="I28" s="10"/>
      <c r="J28" s="10"/>
      <c r="L28" s="10"/>
    </row>
    <row r="29" spans="1:12" s="11" customFormat="1" ht="12.75" x14ac:dyDescent="0.2">
      <c r="A29" s="24" t="str">
        <f>IF(C24="  (continue to 1c)","c)  Is the visiting academic staying for a period of less than 90 days?",IF(C27="  (continue to 1c)","c)  Is the visiting academic staying for a period of less than 90 days?",""))</f>
        <v/>
      </c>
      <c r="B29" s="25"/>
      <c r="C29" s="15"/>
      <c r="D29" s="15"/>
      <c r="E29" s="15"/>
    </row>
    <row r="30" spans="1:12" s="11" customFormat="1" ht="12.75" x14ac:dyDescent="0.2">
      <c r="A30" s="24"/>
      <c r="B30" s="7"/>
      <c r="C30" s="23" t="str">
        <f>IF(AND(B24="Yes",B27="Yes",B30="Yes"),"  (continue to section 2)",IF(AND(B27="Yes",B30="Yes"),"  (continue to 1d)",IF(AND(B24="Yes",B30="No"),"  (continue to 1h)",IF(B30="Yes","  (continue to 1d)",IF(B30="No","  (continue to 1d)","")))))</f>
        <v/>
      </c>
      <c r="D30" s="15"/>
      <c r="E30" s="15"/>
      <c r="I30" s="10"/>
      <c r="J30" s="10"/>
    </row>
    <row r="31" spans="1:12" s="11" customFormat="1" ht="12.75" x14ac:dyDescent="0.2">
      <c r="A31" s="24"/>
      <c r="B31" s="25"/>
      <c r="C31" s="15"/>
      <c r="D31" s="15"/>
      <c r="E31" s="15"/>
      <c r="I31" s="10"/>
      <c r="J31" s="10"/>
    </row>
    <row r="32" spans="1:12" s="11" customFormat="1" ht="12.75" x14ac:dyDescent="0.2">
      <c r="A32" s="24" t="str">
        <f>IF(C30="  (continue to 1d)","d)  What is the overseas visiting academic's home country?","")</f>
        <v/>
      </c>
      <c r="B32" s="25"/>
      <c r="C32" s="15"/>
      <c r="D32" s="15"/>
      <c r="E32" s="15"/>
    </row>
    <row r="33" spans="1:15" s="11" customFormat="1" ht="12.75" x14ac:dyDescent="0.2">
      <c r="A33" s="24"/>
      <c r="B33" s="113"/>
      <c r="C33" s="114"/>
      <c r="D33" s="26" t="str">
        <f>IF(B33="","",IF(B33="NOT LISTED","  (continue to section 2)",IF(SUM(Sheet2!C67:C84)&gt;0.5,"  (continue to 1e)","  (continue to 1f)")))</f>
        <v/>
      </c>
      <c r="E33" s="10"/>
      <c r="G33" s="27" t="str">
        <f>IF(B30="","",IF(AND(B24="No",B30="No"),"(if not in drop down box, the country has no applicable DTA - choose 'NOT LISTED')",""))</f>
        <v/>
      </c>
      <c r="I33" s="10"/>
      <c r="J33" s="10"/>
      <c r="K33" s="10"/>
      <c r="L33" s="10"/>
    </row>
    <row r="34" spans="1:15" s="11" customFormat="1" ht="12.75" x14ac:dyDescent="0.2">
      <c r="A34" s="24"/>
      <c r="B34" s="10"/>
      <c r="C34" s="10"/>
      <c r="D34" s="10"/>
      <c r="E34" s="10"/>
      <c r="F34" s="10"/>
      <c r="G34" s="10"/>
      <c r="H34" s="10"/>
      <c r="I34" s="10"/>
      <c r="J34" s="10"/>
      <c r="K34" s="10"/>
      <c r="L34" s="10"/>
    </row>
    <row r="35" spans="1:15" s="11" customFormat="1" ht="12.75" x14ac:dyDescent="0.2">
      <c r="A35" s="24" t="str">
        <f>IF(D33="  (continue to 1e)","e)  Is the visit for a period of less than 2 years?","")</f>
        <v/>
      </c>
      <c r="B35" s="25"/>
      <c r="C35" s="15"/>
      <c r="D35" s="15"/>
      <c r="E35" s="15"/>
    </row>
    <row r="36" spans="1:15" s="11" customFormat="1" ht="12.75" x14ac:dyDescent="0.2">
      <c r="A36" s="24"/>
      <c r="B36" s="7"/>
      <c r="C36" s="23" t="str">
        <f>IF(B36="Yes","  (continue to section 2)",IF(B36="No","  (continue to 1f)",""))</f>
        <v/>
      </c>
      <c r="D36" s="15"/>
      <c r="E36" s="15"/>
      <c r="I36" s="10"/>
      <c r="J36" s="10"/>
    </row>
    <row r="37" spans="1:15" s="11" customFormat="1" ht="12.75" x14ac:dyDescent="0.2">
      <c r="A37" s="24"/>
      <c r="B37" s="10"/>
      <c r="C37" s="10"/>
      <c r="D37" s="10"/>
      <c r="E37" s="10"/>
      <c r="F37" s="10"/>
      <c r="G37" s="10"/>
      <c r="H37" s="10"/>
      <c r="I37" s="10"/>
      <c r="J37" s="10"/>
      <c r="K37" s="10"/>
      <c r="L37" s="10"/>
    </row>
    <row r="38" spans="1:15" s="11" customFormat="1" x14ac:dyDescent="0.25">
      <c r="A38" s="24" t="str">
        <f>IF(D33="  (continue to 1f)","f)  Is the visiting academic an employee or an independent contractor as per the UQ Contractor Checklist?",IF(C36="  (continue to 1f)","f)  Is the visiting academic an employee or an independent contractor as per the UQ Contractor Checklist?",""))</f>
        <v/>
      </c>
      <c r="B38" s="10"/>
      <c r="C38" s="10"/>
      <c r="D38" s="10"/>
      <c r="E38" s="10"/>
      <c r="F38" s="10"/>
      <c r="G38" s="10"/>
      <c r="H38" s="10"/>
      <c r="I38" s="10"/>
      <c r="K38" s="118" t="str">
        <f>IF(D33="  (continue to 1f)","UQ Contractor checklist link",IF(C36="  (continue to 1f)","UQ Contractor checklist link",""))</f>
        <v/>
      </c>
      <c r="L38" s="10"/>
    </row>
    <row r="39" spans="1:15" s="11" customFormat="1" ht="12.75" x14ac:dyDescent="0.2">
      <c r="A39" s="24"/>
      <c r="B39" s="113"/>
      <c r="C39" s="117"/>
      <c r="D39" s="114"/>
      <c r="E39" s="26" t="str">
        <f>IF(B39="Employee","  (continue to section 2)",IF(B39="Independent contractor","  (continue to 1g)",""))</f>
        <v/>
      </c>
      <c r="F39" s="10"/>
      <c r="G39" s="10"/>
      <c r="H39" s="10"/>
      <c r="I39" s="10"/>
      <c r="J39" s="10"/>
      <c r="K39" s="10"/>
      <c r="L39" s="10"/>
    </row>
    <row r="40" spans="1:15" s="11" customFormat="1" ht="12.75" x14ac:dyDescent="0.2">
      <c r="A40" s="24"/>
      <c r="B40" s="10"/>
      <c r="C40" s="10"/>
      <c r="D40" s="10"/>
      <c r="E40" s="10"/>
      <c r="F40" s="10"/>
      <c r="G40" s="10"/>
      <c r="H40" s="10"/>
      <c r="I40" s="10"/>
      <c r="J40" s="10"/>
      <c r="K40" s="10"/>
      <c r="L40" s="10"/>
    </row>
    <row r="41" spans="1:15" s="11" customFormat="1" ht="12.75" customHeight="1" x14ac:dyDescent="0.2">
      <c r="A41" s="28" t="str">
        <f>IF(E39="  (continue to 1g)","g)  "&amp;VLOOKUP(B33,Sheet2!B24:C62,2,FALSE),"")</f>
        <v/>
      </c>
      <c r="B41" s="28"/>
      <c r="C41" s="28"/>
      <c r="D41" s="28"/>
      <c r="E41" s="28"/>
      <c r="F41" s="28"/>
      <c r="G41" s="28"/>
      <c r="H41" s="28"/>
      <c r="I41" s="28"/>
      <c r="J41" s="28"/>
      <c r="L41" s="27"/>
      <c r="M41" s="27"/>
      <c r="N41" s="27"/>
      <c r="O41" s="27"/>
    </row>
    <row r="42" spans="1:15" s="11" customFormat="1" ht="12.75" x14ac:dyDescent="0.2">
      <c r="A42" s="24"/>
      <c r="B42" s="7"/>
      <c r="C42" s="23" t="str">
        <f>IF(B42="Yes","  (continue to section 2)",IF(B42="No","  (continue to section 2)",""))</f>
        <v/>
      </c>
      <c r="D42" s="15"/>
      <c r="E42" s="15"/>
      <c r="F42" s="27" t="str">
        <f>IF(E39="  (continue to 1g)","Note: A fixed base is a distinct place / established post or office with a degree of permanance (outside of UQ). ","")</f>
        <v/>
      </c>
      <c r="I42" s="10"/>
      <c r="J42" s="10"/>
      <c r="K42" s="27"/>
      <c r="L42" s="27"/>
      <c r="M42" s="27"/>
      <c r="N42" s="27"/>
      <c r="O42" s="27"/>
    </row>
    <row r="43" spans="1:15" s="11" customFormat="1" ht="12.75" x14ac:dyDescent="0.2">
      <c r="A43" s="10"/>
      <c r="B43" s="10"/>
      <c r="C43" s="10"/>
      <c r="D43" s="10"/>
      <c r="E43" s="10"/>
      <c r="F43" s="10"/>
      <c r="H43" s="10"/>
      <c r="I43" s="10"/>
      <c r="J43" s="10"/>
      <c r="K43" s="27"/>
      <c r="L43" s="27"/>
      <c r="M43" s="27"/>
      <c r="N43" s="27"/>
      <c r="O43" s="27"/>
    </row>
    <row r="44" spans="1:15" s="11" customFormat="1" ht="12.75" x14ac:dyDescent="0.2">
      <c r="A44" s="28" t="str">
        <f>IF(C30="  (continue to 1h)","h)  Is the visiting academic staying for a period of less than 365 days?","")</f>
        <v/>
      </c>
      <c r="B44" s="10"/>
      <c r="C44" s="10"/>
      <c r="D44" s="10"/>
      <c r="E44" s="10"/>
      <c r="F44" s="10"/>
      <c r="G44" s="27"/>
      <c r="H44" s="10"/>
      <c r="I44" s="10"/>
      <c r="J44" s="10"/>
      <c r="K44" s="27"/>
      <c r="L44" s="27"/>
      <c r="M44" s="27"/>
      <c r="N44" s="27"/>
      <c r="O44" s="27"/>
    </row>
    <row r="45" spans="1:15" s="11" customFormat="1" ht="12.75" x14ac:dyDescent="0.2">
      <c r="A45" s="10"/>
      <c r="B45" s="7"/>
      <c r="C45" s="23" t="str">
        <f>IF(B45="Yes","  (continue to 1i)",IF(B45="No"," (continue to section 2",""))</f>
        <v/>
      </c>
      <c r="D45" s="10"/>
      <c r="E45" s="10"/>
      <c r="F45" s="10"/>
      <c r="G45" s="27"/>
      <c r="H45" s="10"/>
      <c r="I45" s="10"/>
      <c r="J45" s="10"/>
      <c r="K45" s="27"/>
      <c r="L45" s="27"/>
      <c r="M45" s="27"/>
      <c r="N45" s="27"/>
      <c r="O45" s="27"/>
    </row>
    <row r="46" spans="1:15" s="11" customFormat="1" ht="12.75" x14ac:dyDescent="0.2">
      <c r="A46" s="10"/>
      <c r="B46" s="10"/>
      <c r="C46" s="10"/>
      <c r="D46" s="10"/>
      <c r="E46" s="10"/>
      <c r="F46" s="10"/>
      <c r="G46" s="27"/>
      <c r="H46" s="10"/>
      <c r="I46" s="10"/>
      <c r="J46" s="10"/>
      <c r="K46" s="27"/>
      <c r="L46" s="27"/>
      <c r="M46" s="27"/>
      <c r="N46" s="27"/>
      <c r="O46" s="27"/>
    </row>
    <row r="47" spans="1:15" s="11" customFormat="1" ht="12.75" x14ac:dyDescent="0.2">
      <c r="A47" s="28" t="str">
        <f>IF(C45="  (continue to 1i)","i)  Is the visiting academic maintaining a home at their usual place of residence which is available for their own use at any time?","")</f>
        <v/>
      </c>
      <c r="B47" s="10"/>
      <c r="C47" s="10"/>
      <c r="D47" s="10"/>
      <c r="E47" s="10"/>
      <c r="F47" s="10"/>
      <c r="G47" s="27"/>
      <c r="H47" s="10"/>
      <c r="I47" s="10"/>
      <c r="J47" s="10"/>
      <c r="K47" s="27"/>
      <c r="L47" s="27"/>
      <c r="M47" s="27"/>
      <c r="N47" s="27"/>
      <c r="O47" s="27"/>
    </row>
    <row r="48" spans="1:15" s="11" customFormat="1" ht="12.75" x14ac:dyDescent="0.2">
      <c r="A48" s="10"/>
      <c r="B48" s="7"/>
      <c r="C48" s="23" t="str">
        <f>IF(B48="Yes","  (continue to 1j)",IF(B48="No"," (continue to section 2)",""))</f>
        <v/>
      </c>
      <c r="D48" s="10"/>
      <c r="E48" s="10"/>
      <c r="F48" s="10"/>
      <c r="G48" s="27"/>
      <c r="H48" s="10"/>
      <c r="I48" s="10"/>
      <c r="J48" s="10"/>
      <c r="K48" s="27"/>
      <c r="L48" s="27"/>
      <c r="M48" s="27"/>
      <c r="N48" s="27"/>
      <c r="O48" s="27"/>
    </row>
    <row r="49" spans="1:15" s="11" customFormat="1" ht="12.75" x14ac:dyDescent="0.2">
      <c r="A49" s="10"/>
      <c r="B49" s="10"/>
      <c r="C49" s="10"/>
      <c r="D49" s="10"/>
      <c r="E49" s="10"/>
      <c r="F49" s="10"/>
      <c r="G49" s="27"/>
      <c r="H49" s="10"/>
      <c r="I49" s="10"/>
      <c r="J49" s="10"/>
      <c r="K49" s="27"/>
      <c r="L49" s="27"/>
      <c r="M49" s="27"/>
      <c r="N49" s="27"/>
      <c r="O49" s="27"/>
    </row>
    <row r="50" spans="1:15" s="11" customFormat="1" ht="12.75" x14ac:dyDescent="0.2">
      <c r="A50" s="28" t="str">
        <f>IF(C48="  (continue to 1j)","j)  How many adults (over twelve) and how many children are living away from home including the visting academic?","")</f>
        <v/>
      </c>
      <c r="B50" s="10"/>
      <c r="C50" s="10"/>
      <c r="D50" s="10"/>
      <c r="E50" s="10"/>
      <c r="F50" s="10"/>
      <c r="G50" s="27"/>
      <c r="H50" s="10"/>
      <c r="I50" s="10"/>
      <c r="J50" s="10"/>
      <c r="K50" s="27"/>
      <c r="L50" s="27"/>
      <c r="M50" s="27"/>
      <c r="N50" s="27"/>
      <c r="O50" s="27"/>
    </row>
    <row r="51" spans="1:15" s="11" customFormat="1" ht="15" customHeight="1" x14ac:dyDescent="0.2">
      <c r="A51" s="10"/>
      <c r="B51" s="113"/>
      <c r="C51" s="117"/>
      <c r="D51" s="114"/>
      <c r="E51" s="23" t="str">
        <f>IF(B51="","","  (continue to section 2)")</f>
        <v/>
      </c>
      <c r="F51" s="10"/>
      <c r="H51" s="10"/>
      <c r="I51" s="10"/>
      <c r="J51" s="10"/>
      <c r="K51" s="10"/>
      <c r="L51" s="10"/>
    </row>
    <row r="52" spans="1:15" s="11" customFormat="1" ht="6.75" customHeight="1" x14ac:dyDescent="0.2">
      <c r="A52" s="10"/>
      <c r="B52" s="10"/>
      <c r="C52" s="10"/>
      <c r="D52" s="10"/>
      <c r="E52" s="10"/>
      <c r="F52" s="10"/>
      <c r="G52" s="10"/>
      <c r="H52" s="10"/>
      <c r="I52" s="10"/>
      <c r="J52" s="10"/>
      <c r="K52" s="10"/>
      <c r="L52" s="10"/>
    </row>
    <row r="53" spans="1:15" s="11" customFormat="1" ht="6" customHeight="1" x14ac:dyDescent="0.2">
      <c r="A53" s="10"/>
      <c r="B53" s="10"/>
      <c r="C53" s="10"/>
      <c r="D53" s="10"/>
      <c r="E53" s="10"/>
      <c r="F53" s="10"/>
      <c r="G53" s="10"/>
      <c r="H53" s="10"/>
      <c r="I53" s="10"/>
      <c r="J53" s="10"/>
      <c r="K53" s="10"/>
      <c r="L53" s="10"/>
    </row>
    <row r="54" spans="1:15" s="11" customFormat="1" ht="5.25" customHeight="1" x14ac:dyDescent="0.2">
      <c r="A54" s="10"/>
      <c r="B54" s="10"/>
      <c r="C54" s="10"/>
      <c r="D54" s="10"/>
      <c r="E54" s="10"/>
      <c r="F54" s="10"/>
      <c r="G54" s="10"/>
      <c r="H54" s="10"/>
      <c r="I54" s="10"/>
      <c r="J54" s="10"/>
      <c r="K54" s="10"/>
      <c r="L54" s="10"/>
    </row>
    <row r="55" spans="1:15" s="11" customFormat="1" ht="12.75" x14ac:dyDescent="0.2">
      <c r="A55" s="18" t="s">
        <v>33</v>
      </c>
      <c r="B55" s="19"/>
      <c r="C55" s="19"/>
      <c r="D55" s="19"/>
      <c r="E55" s="19"/>
      <c r="F55" s="19"/>
      <c r="G55" s="19"/>
      <c r="H55" s="19"/>
      <c r="I55" s="19"/>
      <c r="J55" s="19"/>
      <c r="K55" s="19"/>
      <c r="L55" s="20"/>
    </row>
    <row r="56" spans="1:15" s="11" customFormat="1" ht="12.75" x14ac:dyDescent="0.2">
      <c r="A56" s="10"/>
      <c r="B56" s="10"/>
      <c r="C56" s="10"/>
      <c r="D56" s="10"/>
      <c r="E56" s="10"/>
      <c r="F56" s="10"/>
      <c r="G56" s="10"/>
      <c r="H56" s="10"/>
      <c r="I56" s="10"/>
      <c r="J56" s="10"/>
      <c r="K56" s="10"/>
      <c r="L56" s="10"/>
    </row>
    <row r="57" spans="1:15" s="11" customFormat="1" ht="54" customHeight="1" x14ac:dyDescent="0.2">
      <c r="A57" s="22" t="s">
        <v>96</v>
      </c>
      <c r="B57" s="10"/>
      <c r="C57" s="10"/>
      <c r="D57" s="10"/>
      <c r="E57" s="94" t="s">
        <v>3</v>
      </c>
      <c r="F57" s="95"/>
      <c r="G57" s="95"/>
      <c r="H57" s="95"/>
      <c r="I57" s="95"/>
      <c r="J57" s="95"/>
      <c r="K57" s="95"/>
      <c r="L57" s="96"/>
    </row>
    <row r="58" spans="1:15" s="11" customFormat="1" ht="12.75" x14ac:dyDescent="0.2">
      <c r="A58" s="10"/>
      <c r="B58" s="10"/>
      <c r="C58" s="10"/>
      <c r="D58" s="10"/>
      <c r="E58" s="10"/>
      <c r="F58" s="10"/>
      <c r="G58" s="10"/>
      <c r="H58" s="10"/>
      <c r="I58" s="10"/>
      <c r="J58" s="10"/>
      <c r="K58" s="10"/>
      <c r="L58" s="10"/>
    </row>
    <row r="59" spans="1:15" s="11" customFormat="1" ht="12.75" x14ac:dyDescent="0.2">
      <c r="A59" s="29" t="s">
        <v>149</v>
      </c>
      <c r="B59" s="30"/>
      <c r="C59" s="30"/>
      <c r="D59" s="30"/>
      <c r="E59" s="30"/>
      <c r="F59" s="30"/>
      <c r="G59" s="10"/>
      <c r="I59" s="10" t="s">
        <v>153</v>
      </c>
      <c r="J59" s="10"/>
      <c r="K59" s="10"/>
      <c r="L59" s="10"/>
    </row>
    <row r="60" spans="1:15" s="11" customFormat="1" ht="12.75" x14ac:dyDescent="0.2">
      <c r="A60" s="30"/>
      <c r="B60" s="30" t="s">
        <v>97</v>
      </c>
      <c r="C60" s="30"/>
      <c r="D60" s="10"/>
      <c r="E60" s="97"/>
      <c r="F60" s="98"/>
      <c r="G60" s="85" t="str">
        <f>IF(E60="","Start date must be provided","")</f>
        <v>Start date must be provided</v>
      </c>
      <c r="H60" s="10"/>
      <c r="J60" s="84" t="s">
        <v>151</v>
      </c>
      <c r="K60" s="97"/>
      <c r="L60" s="98"/>
    </row>
    <row r="61" spans="1:15" s="11" customFormat="1" ht="12.75" x14ac:dyDescent="0.2">
      <c r="A61" s="30"/>
      <c r="B61" s="30" t="s">
        <v>98</v>
      </c>
      <c r="C61" s="30"/>
      <c r="D61" s="10"/>
      <c r="E61" s="97"/>
      <c r="F61" s="98"/>
      <c r="G61" s="85" t="str">
        <f>IF(E61="","End date must be provided","")</f>
        <v>End date must be provided</v>
      </c>
      <c r="H61" s="10"/>
      <c r="J61" s="84" t="s">
        <v>150</v>
      </c>
      <c r="K61" s="97"/>
      <c r="L61" s="98"/>
    </row>
    <row r="62" spans="1:15" s="11" customFormat="1" ht="12.75" x14ac:dyDescent="0.2">
      <c r="A62" s="30"/>
      <c r="B62" s="30" t="s">
        <v>99</v>
      </c>
      <c r="C62" s="30"/>
      <c r="D62" s="10"/>
      <c r="E62" s="31">
        <f>IF(AND(E60="",E61=""),0,E61-E60+1)</f>
        <v>0</v>
      </c>
      <c r="F62" s="83" t="str">
        <f>IF(AND(B30="Yes",E62&gt;89.5),"  This contradicts the answer at 1(c) above. Please check.",IF(AND(B30="No",E62&lt;89.5),"  This contradicts the answer at 1(c) above. Please check.",""))</f>
        <v/>
      </c>
      <c r="H62" s="10"/>
      <c r="J62" s="84" t="s">
        <v>152</v>
      </c>
      <c r="K62" s="31">
        <f>IF(AND(K60="",K61=""),0,K61-K60+1)</f>
        <v>0</v>
      </c>
      <c r="L62" s="63"/>
    </row>
    <row r="63" spans="1:15" s="11" customFormat="1" ht="12.75" x14ac:dyDescent="0.2">
      <c r="A63" s="10"/>
      <c r="B63" s="10"/>
      <c r="C63" s="10"/>
      <c r="D63" s="10"/>
      <c r="E63" s="63" t="str">
        <f>IF(AND(B42="No",E62&gt;182.5),"  This contradicts the answer at 1(g) above. Please check.","")</f>
        <v/>
      </c>
    </row>
    <row r="64" spans="1:15" s="11" customFormat="1" ht="12.75" x14ac:dyDescent="0.2">
      <c r="A64" s="10"/>
      <c r="B64" s="10"/>
      <c r="C64" s="10"/>
      <c r="D64" s="10"/>
      <c r="E64" s="63" t="str">
        <f>IF(AND(B45="Yes",E62&gt;365),"  This contradicts the answer at 1(h) above. Please check.",IF(AND(B45="No",E62&lt;365),"  This contradicts the answer at 1(h) above. Please check.",""))</f>
        <v/>
      </c>
    </row>
    <row r="65" spans="1:12" s="11" customFormat="1" ht="12.75" x14ac:dyDescent="0.2">
      <c r="A65" s="10"/>
      <c r="B65" s="10"/>
      <c r="C65" s="10"/>
      <c r="D65" s="10"/>
      <c r="E65" s="63"/>
    </row>
    <row r="66" spans="1:12" s="11" customFormat="1" ht="12.75" x14ac:dyDescent="0.2">
      <c r="A66" s="32" t="s">
        <v>148</v>
      </c>
      <c r="B66" s="10"/>
      <c r="C66" s="10"/>
      <c r="D66" s="10"/>
      <c r="E66" s="92"/>
      <c r="F66" s="93"/>
      <c r="G66" s="33"/>
      <c r="J66" s="43" t="s">
        <v>147</v>
      </c>
      <c r="K66" s="92"/>
      <c r="L66" s="93"/>
    </row>
    <row r="67" spans="1:12" s="11" customFormat="1" ht="12.75" x14ac:dyDescent="0.2">
      <c r="A67" s="34"/>
      <c r="B67" s="35"/>
      <c r="C67" s="35"/>
      <c r="D67" s="35"/>
      <c r="E67" s="35"/>
      <c r="F67" s="35"/>
      <c r="G67" s="35"/>
      <c r="H67" s="35"/>
      <c r="I67" s="35"/>
      <c r="J67" s="35"/>
      <c r="K67" s="35"/>
      <c r="L67" s="35"/>
    </row>
    <row r="68" spans="1:12" s="11" customFormat="1" ht="12.75" x14ac:dyDescent="0.2">
      <c r="A68" s="32" t="s">
        <v>40</v>
      </c>
      <c r="B68" s="10"/>
      <c r="C68" s="10"/>
      <c r="D68" s="10"/>
      <c r="E68" s="10"/>
      <c r="F68" s="10"/>
      <c r="G68" s="10"/>
      <c r="H68" s="10"/>
      <c r="I68" s="10"/>
      <c r="J68" s="10"/>
      <c r="K68" s="10"/>
      <c r="L68" s="10"/>
    </row>
    <row r="69" spans="1:12" s="11" customFormat="1" ht="12.75" x14ac:dyDescent="0.2">
      <c r="A69" s="32"/>
      <c r="B69" s="10"/>
      <c r="C69" s="10"/>
      <c r="D69" s="10"/>
      <c r="E69" s="10"/>
      <c r="F69" s="10"/>
      <c r="G69" s="10"/>
      <c r="H69" s="10"/>
      <c r="I69" s="10"/>
      <c r="J69" s="10"/>
      <c r="K69" s="10"/>
      <c r="L69" s="10"/>
    </row>
    <row r="70" spans="1:12" s="11" customFormat="1" ht="12.75" x14ac:dyDescent="0.2">
      <c r="A70" s="10"/>
      <c r="B70" s="36" t="s">
        <v>4</v>
      </c>
      <c r="C70" s="30"/>
      <c r="D70" s="10"/>
      <c r="E70" s="100"/>
      <c r="F70" s="100"/>
      <c r="G70" s="100"/>
      <c r="H70" s="100"/>
      <c r="I70" s="38" t="str">
        <f>IF(AND(E70="",B30="YES"),"&lt;&lt; Selection from drop down list must be made","")</f>
        <v/>
      </c>
      <c r="J70" s="10"/>
      <c r="K70" s="10"/>
      <c r="L70" s="10"/>
    </row>
    <row r="71" spans="1:12" s="11" customFormat="1" ht="12.75" x14ac:dyDescent="0.2">
      <c r="A71" s="30"/>
      <c r="B71" s="36" t="s">
        <v>37</v>
      </c>
      <c r="C71" s="30"/>
      <c r="D71" s="10"/>
      <c r="E71" s="99">
        <f>IF(B27="no",0,IF(E62&gt;89.5,0,IF(E70="commercial",Sheet2!D93*$E$62,IF(E70="Non-commercial",Sheet2!D94*$E$62,0))))</f>
        <v>0</v>
      </c>
      <c r="F71" s="99"/>
      <c r="G71" s="99"/>
      <c r="H71" s="99"/>
      <c r="I71" s="37" t="str">
        <f>IF(B27="No"," No travel allowance due to answer at 1(b).",IF(E62&gt;89.5," No travel allowance as stay is greater than 89 days.",IF(AND(E71&gt;0,E70="Commercial")," = $"&amp;Sheet2!D93&amp;" per day for "&amp;E62&amp;" days",IF(AND(E71&gt;0,E70="Non-commercial")," = $"&amp;Sheet2!D94&amp;" per day for "&amp;E62&amp;" days",""))))</f>
        <v/>
      </c>
      <c r="J71" s="10"/>
      <c r="K71" s="10"/>
      <c r="L71" s="10"/>
    </row>
    <row r="72" spans="1:12" s="11" customFormat="1" ht="12.75" x14ac:dyDescent="0.2">
      <c r="A72" s="30"/>
      <c r="B72" s="36" t="s">
        <v>38</v>
      </c>
      <c r="C72" s="30"/>
      <c r="D72" s="10"/>
      <c r="E72" s="99">
        <f>IF(B27="No",0,IF(E62&gt;89.5,0,IF(E70="",0,E62*Sheet2!D95)))</f>
        <v>0</v>
      </c>
      <c r="F72" s="99"/>
      <c r="G72" s="99"/>
      <c r="H72" s="99"/>
      <c r="I72" s="37" t="str">
        <f>IF(E72&gt;0," = $"&amp;Sheet2!D95&amp;" per day for "&amp;E62&amp;" days","")</f>
        <v/>
      </c>
      <c r="J72" s="10"/>
      <c r="K72" s="10"/>
      <c r="L72" s="10"/>
    </row>
    <row r="73" spans="1:12" s="11" customFormat="1" ht="12.75" x14ac:dyDescent="0.2">
      <c r="A73" s="30"/>
      <c r="B73" s="36" t="s">
        <v>39</v>
      </c>
      <c r="C73" s="30"/>
      <c r="D73" s="10"/>
      <c r="E73" s="99">
        <f>IF(B27="No",0,IF(E62&gt;89.5,0,IF(E70="",0,E62*Sheet2!D96)))</f>
        <v>0</v>
      </c>
      <c r="F73" s="99"/>
      <c r="G73" s="99"/>
      <c r="H73" s="99"/>
      <c r="I73" s="37" t="str">
        <f>IF(E73&gt;0," = $"&amp;Sheet2!D96&amp;" per day for "&amp;E62&amp;" days","")</f>
        <v/>
      </c>
      <c r="J73" s="10"/>
      <c r="K73" s="10"/>
      <c r="L73" s="10"/>
    </row>
    <row r="74" spans="1:12" s="11" customFormat="1" ht="12.75" x14ac:dyDescent="0.2">
      <c r="A74" s="10"/>
      <c r="B74" s="30" t="s">
        <v>17</v>
      </c>
      <c r="C74" s="30"/>
      <c r="D74" s="10"/>
      <c r="E74" s="99">
        <f>SUM(E71:F73)</f>
        <v>0</v>
      </c>
      <c r="F74" s="99"/>
      <c r="G74" s="99"/>
      <c r="H74" s="99"/>
      <c r="I74" s="37"/>
      <c r="J74" s="10"/>
      <c r="K74" s="10"/>
      <c r="L74" s="10"/>
    </row>
    <row r="75" spans="1:12" s="11" customFormat="1" ht="12.75" x14ac:dyDescent="0.2">
      <c r="A75" s="10"/>
      <c r="B75" s="10"/>
      <c r="C75" s="10"/>
      <c r="D75" s="10"/>
      <c r="E75" s="10"/>
      <c r="F75" s="10"/>
      <c r="G75" s="10"/>
      <c r="H75" s="10"/>
      <c r="I75" s="10"/>
      <c r="J75" s="10"/>
      <c r="K75" s="10"/>
      <c r="L75" s="10"/>
    </row>
    <row r="76" spans="1:12" s="11" customFormat="1" ht="12.75" x14ac:dyDescent="0.2">
      <c r="A76" s="32" t="s">
        <v>131</v>
      </c>
      <c r="B76" s="10"/>
      <c r="C76" s="10"/>
      <c r="D76" s="10"/>
      <c r="E76" s="10"/>
      <c r="F76" s="10"/>
      <c r="G76" s="10"/>
      <c r="H76" s="10"/>
      <c r="I76" s="10"/>
      <c r="J76" s="10"/>
      <c r="K76" s="10"/>
      <c r="L76" s="10"/>
    </row>
    <row r="77" spans="1:12" s="11" customFormat="1" ht="12.75" x14ac:dyDescent="0.2">
      <c r="A77" s="32"/>
      <c r="B77" s="10"/>
      <c r="C77" s="10"/>
      <c r="D77" s="10"/>
      <c r="E77" s="10"/>
      <c r="F77" s="10"/>
      <c r="G77" s="10"/>
      <c r="H77" s="10"/>
      <c r="I77" s="10"/>
      <c r="J77" s="10"/>
      <c r="K77" s="10"/>
      <c r="L77" s="10"/>
    </row>
    <row r="78" spans="1:12" s="11" customFormat="1" ht="12.75" x14ac:dyDescent="0.2">
      <c r="A78" s="10"/>
      <c r="B78" s="36" t="s">
        <v>4</v>
      </c>
      <c r="C78" s="30"/>
      <c r="D78" s="10"/>
      <c r="E78" s="100"/>
      <c r="F78" s="100"/>
      <c r="G78" s="100"/>
      <c r="H78" s="100"/>
      <c r="I78" s="38" t="str">
        <f>IF(AND(E78="",B24="YES",B30="No",B45="YES",B48="YES"),"&lt;&lt; Selection from drop down list must be made","")</f>
        <v/>
      </c>
      <c r="J78" s="10"/>
      <c r="K78" s="10"/>
      <c r="L78" s="10"/>
    </row>
    <row r="79" spans="1:12" s="11" customFormat="1" ht="12.75" x14ac:dyDescent="0.2">
      <c r="A79" s="30"/>
      <c r="B79" s="36" t="s">
        <v>38</v>
      </c>
      <c r="C79" s="30"/>
      <c r="D79" s="10"/>
      <c r="E79" s="99">
        <f>IFERROR(IF(B27="No",0,IF(AND(E62&gt;89.5,B48="Yes"),(VLOOKUP(B51,Sheet2!B7:C16,2,FALSE)*E62),0)),0)</f>
        <v>0</v>
      </c>
      <c r="F79" s="99"/>
      <c r="G79" s="99"/>
      <c r="H79" s="99"/>
      <c r="I79" s="37" t="str">
        <f>IF(B45="No"," No LAFHA due to answer at 1(h).",IF(E62&gt;365," No LAFHA allowance as stay is greater than 365 days.",IF(E79&gt;0," = $"&amp;VLOOKUP(B51,Sheet2!B7:C16,2,FALSE)&amp;" per day for "&amp;E62&amp;" days","")))</f>
        <v/>
      </c>
      <c r="J79" s="10"/>
      <c r="K79" s="10"/>
      <c r="L79" s="10"/>
    </row>
    <row r="80" spans="1:12" s="11" customFormat="1" ht="12.75" x14ac:dyDescent="0.2">
      <c r="A80" s="10"/>
      <c r="B80" s="30" t="s">
        <v>17</v>
      </c>
      <c r="C80" s="30"/>
      <c r="D80" s="10"/>
      <c r="E80" s="99">
        <f>SUM(E79:F79)</f>
        <v>0</v>
      </c>
      <c r="F80" s="99"/>
      <c r="G80" s="99"/>
      <c r="H80" s="99"/>
      <c r="I80" s="37"/>
      <c r="J80" s="10"/>
      <c r="K80" s="10"/>
      <c r="L80" s="10"/>
    </row>
    <row r="81" spans="1:12" s="11" customFormat="1" ht="12.75" x14ac:dyDescent="0.2">
      <c r="A81" s="10"/>
      <c r="B81" s="10"/>
      <c r="C81" s="10"/>
      <c r="D81" s="10"/>
      <c r="E81" s="10"/>
      <c r="F81" s="10"/>
      <c r="G81" s="10"/>
      <c r="H81" s="10"/>
      <c r="I81" s="10"/>
      <c r="J81" s="10"/>
      <c r="K81" s="10"/>
      <c r="L81" s="10"/>
    </row>
    <row r="82" spans="1:12" s="11" customFormat="1" ht="12.75" x14ac:dyDescent="0.2">
      <c r="A82" s="32" t="s">
        <v>132</v>
      </c>
      <c r="B82" s="10"/>
      <c r="C82" s="10"/>
      <c r="D82" s="10"/>
      <c r="E82" s="61" t="str">
        <f>IF(B24="","",IF(Sheet2!C103="Yes","Yes",IF(Sheet2!C104="No","No",IF(Sheet2!C105="Yes","Yes",IF(Sheet2!C106="No","No",IF(Sheet2!C107="Yes","Yes",IF(Sheet2!C108="Yes","Yes",IF(Sheet2!C109="No","No",IF(Sheet2!C110="Yes","Yes",IF(Sheet2!C111="No","No",IF(Sheet2!C112="Yes","Yes",IF(Sheet2!C114="No","No",IF(Sheet2!C115="Yes","Yes",IF(Sheet2!C116="Yes","Yes",IF(Sheet2!C117="Yes","Yes","ERROR")))))))))))))))</f>
        <v/>
      </c>
      <c r="F82" s="38" t="str">
        <f>IF(B24="","",IF(Sheet2!C103="Yes",Sheet2!D103,IF(Sheet2!C104="No",Sheet2!D104,IF(Sheet2!C105="Yes",Sheet2!D105,IF(Sheet2!C106="No",Sheet2!D106,IF(Sheet2!C107="Yes",Sheet2!D107,IF(Sheet2!C108="Yes",Sheet2!D108,IF(Sheet2!C109="No",Sheet2!D109,IF(Sheet2!C110="Yes",Sheet2!D110,IF(Sheet2!C111="No",Sheet2!D111,IF(Sheet2!C112="Yes",Sheet2!D112,IF(Sheet2!C114="No",Sheet2!D114,IF(Sheet2!C115="Yes",Sheet2!D115,IF(Sheet2!C116="Yes",Sheet2!D116,IF(Sheet2!C117="Yes",Sheet2!D117,"  Please complete all questions in section 1")))))))))))))))</f>
        <v/>
      </c>
      <c r="G82" s="10"/>
      <c r="H82" s="10"/>
      <c r="I82" s="10"/>
      <c r="J82" s="10"/>
      <c r="K82" s="10"/>
      <c r="L82" s="10"/>
    </row>
    <row r="83" spans="1:12" s="11" customFormat="1" ht="12.75" x14ac:dyDescent="0.2">
      <c r="A83" s="10"/>
      <c r="B83" s="10" t="s">
        <v>104</v>
      </c>
      <c r="C83" s="10"/>
      <c r="D83" s="10"/>
      <c r="E83" s="115">
        <f>SUM(Sheet2!E103:E117)</f>
        <v>0</v>
      </c>
      <c r="F83" s="115"/>
      <c r="G83" s="10"/>
      <c r="H83" s="10"/>
      <c r="I83" s="10"/>
      <c r="J83" s="10"/>
      <c r="K83" s="10"/>
      <c r="L83" s="10"/>
    </row>
    <row r="84" spans="1:12" s="11" customFormat="1" ht="12.75" x14ac:dyDescent="0.2">
      <c r="A84" s="84"/>
      <c r="B84" s="10" t="s">
        <v>105</v>
      </c>
      <c r="C84" s="10"/>
      <c r="D84" s="10"/>
      <c r="E84" s="116">
        <f>SUM(Sheet2!F103:F116)</f>
        <v>0</v>
      </c>
      <c r="F84" s="116"/>
      <c r="G84" s="10"/>
      <c r="H84" s="10"/>
      <c r="I84" s="10"/>
      <c r="J84" s="10"/>
      <c r="K84" s="10"/>
      <c r="L84" s="10"/>
    </row>
    <row r="85" spans="1:12" s="11" customFormat="1" ht="12.75" x14ac:dyDescent="0.2">
      <c r="A85" s="10"/>
      <c r="B85" s="10"/>
      <c r="C85" s="10"/>
      <c r="D85" s="10"/>
      <c r="E85" s="10"/>
      <c r="F85" s="10"/>
      <c r="G85" s="10"/>
      <c r="H85" s="10"/>
      <c r="I85" s="10"/>
      <c r="J85" s="10"/>
      <c r="K85" s="10"/>
      <c r="L85" s="10"/>
    </row>
    <row r="86" spans="1:12" s="11" customFormat="1" ht="12.75" x14ac:dyDescent="0.2">
      <c r="A86" s="18" t="s">
        <v>34</v>
      </c>
      <c r="B86" s="19"/>
      <c r="C86" s="19"/>
      <c r="D86" s="19"/>
      <c r="E86" s="19"/>
      <c r="F86" s="19"/>
      <c r="G86" s="19"/>
      <c r="H86" s="19"/>
      <c r="I86" s="19"/>
      <c r="J86" s="19"/>
      <c r="K86" s="19"/>
      <c r="L86" s="20"/>
    </row>
    <row r="87" spans="1:12" s="11" customFormat="1" ht="12.75" x14ac:dyDescent="0.2">
      <c r="A87" s="10"/>
      <c r="B87" s="10"/>
      <c r="C87" s="10"/>
      <c r="D87" s="10"/>
      <c r="E87" s="10"/>
      <c r="F87" s="10"/>
      <c r="G87" s="10"/>
      <c r="H87" s="10"/>
      <c r="I87" s="10"/>
      <c r="J87" s="10"/>
      <c r="K87" s="10"/>
      <c r="L87" s="10"/>
    </row>
    <row r="88" spans="1:12" s="40" customFormat="1" ht="12.75" x14ac:dyDescent="0.2">
      <c r="A88" s="39" t="s">
        <v>26</v>
      </c>
      <c r="B88" s="39"/>
      <c r="C88" s="39"/>
      <c r="D88" s="39"/>
      <c r="E88" s="39"/>
      <c r="F88" s="39"/>
      <c r="G88" s="26"/>
      <c r="H88" s="26"/>
      <c r="I88" s="39" t="str">
        <f>IF(OR(E82="",E82="ERROR"),"COMPLETE SECTION 1 and 2 ABOVE",IF(AND(E82="YES"),"Faculty/Institute HR", "FBS Accounts Payable"))</f>
        <v>COMPLETE SECTION 1 and 2 ABOVE</v>
      </c>
      <c r="J88" s="26"/>
      <c r="K88" s="26"/>
      <c r="L88" s="26"/>
    </row>
    <row r="89" spans="1:12" s="11" customFormat="1" ht="12.75" x14ac:dyDescent="0.2">
      <c r="A89" s="10" t="s">
        <v>28</v>
      </c>
      <c r="B89" s="10"/>
      <c r="C89" s="10"/>
      <c r="D89" s="10"/>
      <c r="E89" s="10"/>
      <c r="F89" s="10"/>
      <c r="G89" s="10"/>
      <c r="H89" s="10"/>
      <c r="I89" s="10"/>
      <c r="J89" s="10"/>
      <c r="K89" s="10"/>
      <c r="L89" s="10"/>
    </row>
    <row r="90" spans="1:12" s="11" customFormat="1" ht="12.75" x14ac:dyDescent="0.2">
      <c r="A90" s="10"/>
      <c r="B90" s="10"/>
      <c r="C90" s="10"/>
      <c r="D90" s="10"/>
      <c r="E90" s="10"/>
      <c r="F90" s="10"/>
      <c r="G90" s="10"/>
      <c r="H90" s="10"/>
      <c r="I90" s="10"/>
      <c r="J90" s="10"/>
      <c r="K90" s="10"/>
      <c r="L90" s="10"/>
    </row>
    <row r="91" spans="1:12" s="11" customFormat="1" ht="12.75" x14ac:dyDescent="0.2">
      <c r="A91" s="41" t="s">
        <v>27</v>
      </c>
    </row>
    <row r="92" spans="1:12" s="11" customFormat="1" ht="12.75" x14ac:dyDescent="0.2">
      <c r="B92" s="42" t="s">
        <v>18</v>
      </c>
      <c r="C92" s="42" t="s">
        <v>19</v>
      </c>
      <c r="D92" s="42" t="s">
        <v>101</v>
      </c>
      <c r="E92" s="25" t="s">
        <v>20</v>
      </c>
      <c r="F92" s="42" t="s">
        <v>21</v>
      </c>
      <c r="G92" s="42" t="s">
        <v>22</v>
      </c>
      <c r="H92" s="10"/>
      <c r="I92" s="10"/>
      <c r="J92" s="10"/>
      <c r="K92" s="10"/>
      <c r="L92" s="10"/>
    </row>
    <row r="93" spans="1:12" s="11" customFormat="1" ht="12.75" x14ac:dyDescent="0.2">
      <c r="B93" s="47"/>
      <c r="C93" s="48"/>
      <c r="D93" s="7"/>
      <c r="E93" s="7"/>
      <c r="F93" s="49"/>
      <c r="G93" s="7"/>
      <c r="H93" s="10"/>
      <c r="I93" s="10"/>
    </row>
    <row r="94" spans="1:12" s="11" customFormat="1" ht="12.75" x14ac:dyDescent="0.2">
      <c r="B94" s="11" t="s">
        <v>23</v>
      </c>
      <c r="I94" s="10"/>
      <c r="J94" s="10"/>
      <c r="K94" s="10"/>
    </row>
    <row r="95" spans="1:12" s="11" customFormat="1" ht="12.75" x14ac:dyDescent="0.2">
      <c r="B95" s="101"/>
      <c r="C95" s="102"/>
      <c r="D95" s="102"/>
      <c r="E95" s="102"/>
      <c r="F95" s="102"/>
      <c r="G95" s="102"/>
      <c r="H95" s="103"/>
      <c r="I95" s="10"/>
      <c r="J95" s="10"/>
      <c r="K95" s="10"/>
    </row>
    <row r="96" spans="1:12" s="11" customFormat="1" ht="12.75" x14ac:dyDescent="0.2"/>
    <row r="97" spans="1:12" s="11" customFormat="1" ht="12.75" x14ac:dyDescent="0.2">
      <c r="A97" s="10" t="s">
        <v>29</v>
      </c>
      <c r="B97" s="10"/>
      <c r="C97" s="10"/>
    </row>
    <row r="98" spans="1:12" s="11" customFormat="1" ht="12.75" x14ac:dyDescent="0.2">
      <c r="A98" s="10"/>
      <c r="B98" s="16"/>
      <c r="C98" s="10"/>
      <c r="D98" s="10"/>
      <c r="E98" s="10"/>
      <c r="F98" s="10"/>
      <c r="G98" s="10"/>
      <c r="H98" s="10"/>
      <c r="I98" s="10"/>
      <c r="J98" s="10"/>
      <c r="K98" s="10"/>
      <c r="L98" s="10"/>
    </row>
    <row r="99" spans="1:12" s="11" customFormat="1" ht="12.75" x14ac:dyDescent="0.2">
      <c r="A99" s="10"/>
      <c r="B99" s="10"/>
      <c r="C99" s="10"/>
      <c r="D99" s="10"/>
      <c r="E99" s="10"/>
      <c r="F99" s="10"/>
      <c r="G99" s="10"/>
      <c r="H99" s="10"/>
      <c r="I99" s="10"/>
      <c r="J99" s="10"/>
      <c r="K99" s="10"/>
      <c r="L99" s="10"/>
    </row>
    <row r="100" spans="1:12" s="11" customFormat="1" ht="12.75" x14ac:dyDescent="0.2">
      <c r="A100" s="18" t="s">
        <v>154</v>
      </c>
      <c r="B100" s="19"/>
      <c r="C100" s="19"/>
      <c r="D100" s="19"/>
      <c r="E100" s="19"/>
      <c r="F100" s="19"/>
      <c r="G100" s="19"/>
      <c r="H100" s="19"/>
      <c r="I100" s="19"/>
      <c r="J100" s="19"/>
      <c r="K100" s="19"/>
      <c r="L100" s="20"/>
    </row>
    <row r="101" spans="1:12" s="11" customFormat="1" ht="12.75" x14ac:dyDescent="0.2">
      <c r="A101" s="21"/>
      <c r="L101" s="43"/>
    </row>
    <row r="102" spans="1:12" s="11" customFormat="1" ht="12.75" x14ac:dyDescent="0.2">
      <c r="A102" s="22" t="s">
        <v>12</v>
      </c>
      <c r="B102" s="10"/>
      <c r="C102" s="10"/>
      <c r="D102" s="10"/>
      <c r="E102" s="104">
        <f>E3</f>
        <v>0</v>
      </c>
      <c r="F102" s="105"/>
      <c r="G102" s="105"/>
      <c r="H102" s="105"/>
      <c r="I102" s="105"/>
      <c r="J102" s="105"/>
      <c r="K102" s="106"/>
      <c r="L102" s="10"/>
    </row>
    <row r="103" spans="1:12" s="11" customFormat="1" ht="12.75" x14ac:dyDescent="0.2">
      <c r="A103" s="22" t="s">
        <v>7</v>
      </c>
      <c r="B103" s="10"/>
      <c r="C103" s="10"/>
      <c r="D103" s="10"/>
      <c r="E103" s="101"/>
      <c r="F103" s="102"/>
      <c r="G103" s="102"/>
      <c r="H103" s="102"/>
      <c r="I103" s="102"/>
      <c r="J103" s="102"/>
      <c r="K103" s="103"/>
      <c r="L103" s="10"/>
    </row>
    <row r="104" spans="1:12" s="11" customFormat="1" ht="12.75" x14ac:dyDescent="0.2">
      <c r="A104" s="22" t="s">
        <v>8</v>
      </c>
      <c r="B104" s="10"/>
      <c r="C104" s="10"/>
      <c r="D104" s="10"/>
      <c r="E104" s="101" t="s">
        <v>9</v>
      </c>
      <c r="F104" s="102"/>
      <c r="G104" s="102"/>
      <c r="H104" s="102"/>
      <c r="I104" s="102"/>
      <c r="J104" s="102"/>
      <c r="K104" s="103"/>
      <c r="L104" s="10"/>
    </row>
    <row r="105" spans="1:12" s="11" customFormat="1" ht="45.75" customHeight="1" x14ac:dyDescent="0.2">
      <c r="A105" s="22" t="s">
        <v>35</v>
      </c>
      <c r="B105" s="14"/>
      <c r="C105" s="14"/>
      <c r="D105" s="10"/>
      <c r="E105" s="94"/>
      <c r="F105" s="95"/>
      <c r="G105" s="95"/>
      <c r="H105" s="95"/>
      <c r="I105" s="95"/>
      <c r="J105" s="95"/>
      <c r="K105" s="96"/>
      <c r="L105" s="10"/>
    </row>
    <row r="106" spans="1:12" s="11" customFormat="1" ht="12.75" x14ac:dyDescent="0.2">
      <c r="A106" s="22" t="s">
        <v>13</v>
      </c>
      <c r="B106" s="10"/>
      <c r="C106" s="10"/>
      <c r="D106" s="10"/>
      <c r="E106" s="101" t="s">
        <v>10</v>
      </c>
      <c r="F106" s="102"/>
      <c r="G106" s="102"/>
      <c r="H106" s="102"/>
      <c r="I106" s="102"/>
      <c r="J106" s="102"/>
      <c r="K106" s="103"/>
      <c r="L106" s="10"/>
    </row>
    <row r="107" spans="1:12" s="11" customFormat="1" ht="12.75" x14ac:dyDescent="0.2">
      <c r="A107" s="22" t="s">
        <v>11</v>
      </c>
      <c r="B107" s="10"/>
      <c r="C107" s="10"/>
      <c r="D107" s="10"/>
      <c r="E107" s="101"/>
      <c r="F107" s="102"/>
      <c r="G107" s="102"/>
      <c r="H107" s="102"/>
      <c r="I107" s="102"/>
      <c r="J107" s="102"/>
      <c r="K107" s="103"/>
      <c r="L107" s="10"/>
    </row>
    <row r="108" spans="1:12" s="11" customFormat="1" ht="12.75" x14ac:dyDescent="0.2">
      <c r="A108" s="22" t="s">
        <v>14</v>
      </c>
      <c r="B108" s="10"/>
      <c r="C108" s="10"/>
      <c r="D108" s="10"/>
      <c r="E108" s="101"/>
      <c r="F108" s="102"/>
      <c r="G108" s="102"/>
      <c r="H108" s="102"/>
      <c r="I108" s="102"/>
      <c r="J108" s="102"/>
      <c r="K108" s="103"/>
      <c r="L108" s="10"/>
    </row>
    <row r="109" spans="1:12" s="11" customFormat="1" ht="12.75" x14ac:dyDescent="0.2">
      <c r="A109" s="22" t="s">
        <v>15</v>
      </c>
      <c r="B109" s="10"/>
      <c r="C109" s="10"/>
      <c r="D109" s="10"/>
      <c r="E109" s="109"/>
      <c r="F109" s="110"/>
      <c r="G109" s="110"/>
      <c r="H109" s="110"/>
      <c r="I109" s="110"/>
      <c r="J109" s="110"/>
      <c r="K109" s="111"/>
      <c r="L109" s="10"/>
    </row>
    <row r="110" spans="1:12" s="11" customFormat="1" ht="12.75" x14ac:dyDescent="0.2">
      <c r="A110" s="22" t="s">
        <v>16</v>
      </c>
      <c r="B110" s="10"/>
      <c r="C110" s="10"/>
      <c r="D110" s="10"/>
      <c r="E110" s="101"/>
      <c r="F110" s="102"/>
      <c r="G110" s="102"/>
      <c r="H110" s="102"/>
      <c r="I110" s="102"/>
      <c r="J110" s="102"/>
      <c r="K110" s="103"/>
      <c r="L110" s="10"/>
    </row>
    <row r="111" spans="1:12" s="11" customFormat="1" ht="30" customHeight="1" x14ac:dyDescent="0.2">
      <c r="A111" s="107" t="s">
        <v>36</v>
      </c>
      <c r="B111" s="107"/>
      <c r="C111" s="107"/>
      <c r="D111" s="108"/>
      <c r="E111" s="101"/>
      <c r="F111" s="102"/>
      <c r="G111" s="102"/>
      <c r="H111" s="102"/>
      <c r="I111" s="102"/>
      <c r="J111" s="102"/>
      <c r="K111" s="103"/>
      <c r="L111" s="10"/>
    </row>
    <row r="112" spans="1:12" s="11" customFormat="1" ht="12.75" x14ac:dyDescent="0.2">
      <c r="A112" s="10"/>
      <c r="B112" s="16"/>
      <c r="C112" s="10"/>
      <c r="D112" s="10"/>
      <c r="E112" s="10"/>
      <c r="F112" s="10"/>
      <c r="G112" s="10"/>
      <c r="H112" s="10"/>
      <c r="I112" s="10"/>
      <c r="J112" s="10"/>
      <c r="K112" s="10"/>
      <c r="L112" s="10"/>
    </row>
    <row r="113" spans="1:12" s="11" customFormat="1" ht="12.75" x14ac:dyDescent="0.2">
      <c r="A113" s="10" t="str">
        <f>IF(E82="Yes","As the payment must go through Faculty/Institute HR, please also complete the following forms:","")</f>
        <v/>
      </c>
      <c r="B113" s="16"/>
      <c r="C113" s="10"/>
      <c r="D113" s="10"/>
      <c r="E113" s="10"/>
      <c r="F113" s="10"/>
      <c r="G113" s="10"/>
      <c r="H113" s="10"/>
      <c r="I113" s="10"/>
      <c r="J113" s="10"/>
      <c r="K113" s="10"/>
      <c r="L113" s="10"/>
    </row>
    <row r="114" spans="1:12" s="11" customFormat="1" ht="12.75" x14ac:dyDescent="0.2">
      <c r="A114" s="10" t="str">
        <f>IF(E82="Yes","     - A HR Visiting Academic form - see here - ","")</f>
        <v/>
      </c>
      <c r="B114" s="16"/>
      <c r="C114" s="10"/>
      <c r="D114" s="10"/>
      <c r="E114" s="62" t="str">
        <f>IF(E82="Yes","http://www.uq.edu.au/shared/resources/personnel/recruitment/VisitingAcad-appt.doc","")</f>
        <v/>
      </c>
      <c r="F114" s="10"/>
      <c r="G114" s="10"/>
      <c r="H114" s="10"/>
      <c r="I114" s="10"/>
      <c r="J114" s="10"/>
      <c r="K114" s="10"/>
      <c r="L114" s="10"/>
    </row>
    <row r="115" spans="1:12" s="11" customFormat="1" ht="12.75" x14ac:dyDescent="0.2">
      <c r="A115" s="10" t="str">
        <f>IF(E82="Yes","     - A Tax File Declaration form. ","")</f>
        <v/>
      </c>
      <c r="B115" s="16"/>
      <c r="C115" s="10"/>
      <c r="D115" s="10"/>
      <c r="E115" s="10"/>
      <c r="F115" s="10"/>
      <c r="G115" s="10"/>
      <c r="H115" s="10"/>
      <c r="I115" s="10"/>
      <c r="J115" s="10"/>
      <c r="K115" s="10"/>
      <c r="L115" s="10"/>
    </row>
    <row r="116" spans="1:12" s="11" customFormat="1" ht="12.75" x14ac:dyDescent="0.2">
      <c r="A116" s="10"/>
      <c r="B116" s="16"/>
      <c r="C116" s="10"/>
      <c r="D116" s="10"/>
      <c r="E116" s="10"/>
      <c r="F116" s="10"/>
      <c r="G116" s="10"/>
      <c r="H116" s="10"/>
      <c r="I116" s="10"/>
      <c r="J116" s="10"/>
      <c r="K116" s="10"/>
      <c r="L116" s="10"/>
    </row>
    <row r="117" spans="1:12" s="11" customFormat="1" ht="12.75" x14ac:dyDescent="0.2">
      <c r="A117" s="18" t="s">
        <v>30</v>
      </c>
      <c r="B117" s="19"/>
      <c r="C117" s="19"/>
      <c r="D117" s="19"/>
      <c r="E117" s="19"/>
      <c r="F117" s="19"/>
      <c r="G117" s="19"/>
      <c r="H117" s="19"/>
      <c r="I117" s="19"/>
      <c r="J117" s="19"/>
      <c r="K117" s="19"/>
      <c r="L117" s="20"/>
    </row>
    <row r="118" spans="1:12" s="11" customFormat="1" ht="12.75" x14ac:dyDescent="0.2">
      <c r="A118" s="91" t="s">
        <v>44</v>
      </c>
      <c r="B118" s="91"/>
      <c r="C118" s="91"/>
      <c r="D118" s="91"/>
      <c r="E118" s="91"/>
      <c r="F118" s="91"/>
      <c r="G118" s="91"/>
      <c r="H118" s="91"/>
      <c r="I118" s="91"/>
      <c r="J118" s="91"/>
      <c r="K118" s="91"/>
      <c r="L118" s="91"/>
    </row>
    <row r="119" spans="1:12" s="11" customFormat="1" ht="31.5" customHeight="1" x14ac:dyDescent="0.2">
      <c r="A119" s="91"/>
      <c r="B119" s="91"/>
      <c r="C119" s="91"/>
      <c r="D119" s="91"/>
      <c r="E119" s="91"/>
      <c r="F119" s="91"/>
      <c r="G119" s="91"/>
      <c r="H119" s="91"/>
      <c r="I119" s="91"/>
      <c r="J119" s="91"/>
      <c r="K119" s="91"/>
      <c r="L119" s="91"/>
    </row>
    <row r="120" spans="1:12" s="11" customFormat="1" ht="12.75" x14ac:dyDescent="0.2">
      <c r="C120" s="50" t="s">
        <v>41</v>
      </c>
      <c r="D120" s="51"/>
      <c r="E120" s="52"/>
      <c r="F120" s="53" t="s">
        <v>43</v>
      </c>
      <c r="G120" s="54"/>
      <c r="H120" s="55"/>
      <c r="I120" s="53" t="s">
        <v>42</v>
      </c>
      <c r="J120" s="52"/>
      <c r="L120" s="43"/>
    </row>
    <row r="121" spans="1:12" s="11" customFormat="1" ht="12.75" x14ac:dyDescent="0.2">
      <c r="A121" s="21" t="s">
        <v>45</v>
      </c>
      <c r="C121" s="56"/>
      <c r="D121" s="57"/>
      <c r="E121" s="58"/>
      <c r="F121" s="56"/>
      <c r="G121" s="57"/>
      <c r="H121" s="58"/>
      <c r="I121" s="56"/>
      <c r="J121" s="58"/>
      <c r="L121" s="43"/>
    </row>
    <row r="122" spans="1:12" s="11" customFormat="1" ht="12.75" x14ac:dyDescent="0.2">
      <c r="A122" s="21" t="s">
        <v>46</v>
      </c>
      <c r="C122" s="56"/>
      <c r="D122" s="57"/>
      <c r="E122" s="58"/>
      <c r="F122" s="56"/>
      <c r="G122" s="57"/>
      <c r="H122" s="58"/>
      <c r="I122" s="56"/>
      <c r="J122" s="58"/>
      <c r="L122" s="43"/>
    </row>
    <row r="123" spans="1:12" s="11" customFormat="1" ht="30" customHeight="1" x14ac:dyDescent="0.2">
      <c r="A123" s="44" t="s">
        <v>47</v>
      </c>
      <c r="B123" s="45"/>
      <c r="C123" s="59"/>
      <c r="D123" s="60"/>
      <c r="E123" s="4"/>
      <c r="F123" s="5"/>
      <c r="G123" s="6"/>
      <c r="H123" s="4"/>
      <c r="I123" s="5"/>
      <c r="J123" s="4"/>
      <c r="K123" s="46"/>
    </row>
    <row r="124" spans="1:12" s="11" customFormat="1" ht="12.75" x14ac:dyDescent="0.2">
      <c r="A124" s="10"/>
      <c r="B124" s="10"/>
      <c r="C124" s="10"/>
      <c r="D124" s="10"/>
      <c r="E124" s="10"/>
      <c r="F124" s="10"/>
      <c r="G124" s="10"/>
      <c r="H124" s="10"/>
      <c r="I124" s="10"/>
      <c r="J124" s="10"/>
      <c r="K124" s="10"/>
      <c r="L124" s="10"/>
    </row>
  </sheetData>
  <sheetProtection algorithmName="SHA-512" hashValue="Ngdct1Nz5ubQZUJnfCGQ4lpZ5gvGKlDNMUykRb5S/3vY2twjoXklRbLzD8y3nhfJ8ipHGSRz4rArbaup6FVCbw==" saltValue="KwZDBw9Idmd99mm0glCWeg==" spinCount="100000" sheet="1" objects="1" scenarios="1"/>
  <mergeCells count="35">
    <mergeCell ref="A1:H1"/>
    <mergeCell ref="B33:C33"/>
    <mergeCell ref="E83:F83"/>
    <mergeCell ref="E84:F84"/>
    <mergeCell ref="E105:K105"/>
    <mergeCell ref="B39:D39"/>
    <mergeCell ref="E78:H78"/>
    <mergeCell ref="E79:H79"/>
    <mergeCell ref="B51:D51"/>
    <mergeCell ref="K60:L60"/>
    <mergeCell ref="K61:L61"/>
    <mergeCell ref="F3:J3"/>
    <mergeCell ref="A111:D111"/>
    <mergeCell ref="E106:K106"/>
    <mergeCell ref="E107:K107"/>
    <mergeCell ref="E108:K108"/>
    <mergeCell ref="E109:K109"/>
    <mergeCell ref="E110:K110"/>
    <mergeCell ref="E111:K111"/>
    <mergeCell ref="A118:L119"/>
    <mergeCell ref="E66:F66"/>
    <mergeCell ref="E57:L57"/>
    <mergeCell ref="E60:F60"/>
    <mergeCell ref="E61:F61"/>
    <mergeCell ref="E72:H72"/>
    <mergeCell ref="E71:H71"/>
    <mergeCell ref="E73:H73"/>
    <mergeCell ref="E74:H74"/>
    <mergeCell ref="E70:H70"/>
    <mergeCell ref="B95:H95"/>
    <mergeCell ref="E102:K102"/>
    <mergeCell ref="E103:K103"/>
    <mergeCell ref="E104:K104"/>
    <mergeCell ref="E80:H80"/>
    <mergeCell ref="K66:L66"/>
  </mergeCells>
  <hyperlinks>
    <hyperlink ref="E114" r:id="rId1" display="http://www.uq.edu.au/shared/resources/personnel/recruitment/VisitingAcad-appt.doc"/>
    <hyperlink ref="K38" r:id="rId2" display="https://coo.uq.edu.au/files/5702/contractor-employment-taxes-checklist.xlsx"/>
  </hyperlinks>
  <pageMargins left="0.7" right="0.7" top="0.75" bottom="0.75" header="0.3" footer="0.3"/>
  <pageSetup paperSize="9" scale="70" orientation="portrait" r:id="rId3"/>
  <rowBreaks count="1" manualBreakCount="1">
    <brk id="85" max="12" man="1"/>
  </rowBreaks>
  <drawing r:id="rId4"/>
  <legacyDrawing r:id="rId5"/>
  <extLst>
    <ext xmlns:x14="http://schemas.microsoft.com/office/spreadsheetml/2009/9/main" uri="{CCE6A557-97BC-4b89-ADB6-D9C93CAAB3DF}">
      <x14:dataValidations xmlns:xm="http://schemas.microsoft.com/office/excel/2006/main" count="6">
        <x14:dataValidation type="list" allowBlank="1" showInputMessage="1" showErrorMessage="1">
          <x14:formula1>
            <xm:f>Sheet2!$B$18:$B$20</xm:f>
          </x14:formula1>
          <xm:sqref>B24 B27 B30 B42 B48 B45 B36</xm:sqref>
        </x14:dataValidation>
        <x14:dataValidation type="list" allowBlank="1" showInputMessage="1" showErrorMessage="1">
          <x14:formula1>
            <xm:f>Sheet2!$B$23:$B$61</xm:f>
          </x14:formula1>
          <xm:sqref>B33</xm:sqref>
        </x14:dataValidation>
        <x14:dataValidation type="list" allowBlank="1" showInputMessage="1" showErrorMessage="1">
          <x14:formula1>
            <xm:f>Sheet2!$B$6:$B$16</xm:f>
          </x14:formula1>
          <xm:sqref>B51</xm:sqref>
        </x14:dataValidation>
        <x14:dataValidation type="list" allowBlank="1" showInputMessage="1" showErrorMessage="1">
          <x14:formula1>
            <xm:f>Sheet2!$C$18:$C$20</xm:f>
          </x14:formula1>
          <xm:sqref>B39:D39</xm:sqref>
        </x14:dataValidation>
        <x14:dataValidation type="list" allowBlank="1" showInputMessage="1" showErrorMessage="1">
          <x14:formula1>
            <xm:f>Sheet2!$B$91:$B$94</xm:f>
          </x14:formula1>
          <xm:sqref>E70:H70</xm:sqref>
        </x14:dataValidation>
        <x14:dataValidation type="list" allowBlank="1" showInputMessage="1" showErrorMessage="1">
          <x14:formula1>
            <xm:f>Sheet2!$B$91:$B$92</xm:f>
          </x14:formula1>
          <xm:sqref>E78:H78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H117"/>
  <sheetViews>
    <sheetView workbookViewId="0"/>
  </sheetViews>
  <sheetFormatPr defaultRowHeight="11.25" x14ac:dyDescent="0.2"/>
  <cols>
    <col min="1" max="1" width="9.140625" style="3" customWidth="1"/>
    <col min="2" max="2" width="46.7109375" style="3" hidden="1" customWidth="1"/>
    <col min="3" max="3" width="93.7109375" style="3" hidden="1" customWidth="1"/>
    <col min="4" max="4" width="76" style="3" hidden="1" customWidth="1"/>
    <col min="5" max="5" width="6.85546875" style="3" hidden="1" customWidth="1"/>
    <col min="6" max="6" width="8.85546875" style="3" hidden="1" customWidth="1"/>
    <col min="7" max="8" width="4.42578125" style="3" hidden="1" customWidth="1"/>
    <col min="9" max="9" width="4.42578125" style="3" customWidth="1"/>
    <col min="10" max="11" width="9.140625" style="3" customWidth="1"/>
    <col min="12" max="16384" width="9.140625" style="3"/>
  </cols>
  <sheetData>
    <row r="3" spans="2:3" ht="12.75" customHeight="1" x14ac:dyDescent="0.2">
      <c r="B3" s="2" t="s">
        <v>118</v>
      </c>
      <c r="C3" s="81" t="s">
        <v>160</v>
      </c>
    </row>
    <row r="4" spans="2:3" x14ac:dyDescent="0.2">
      <c r="B4" s="2"/>
      <c r="C4" s="2"/>
    </row>
    <row r="5" spans="2:3" ht="12.75" x14ac:dyDescent="0.2">
      <c r="B5" s="2"/>
      <c r="C5" s="76" t="s">
        <v>119</v>
      </c>
    </row>
    <row r="6" spans="2:3" x14ac:dyDescent="0.2">
      <c r="B6" s="2"/>
      <c r="C6" s="77" t="s">
        <v>120</v>
      </c>
    </row>
    <row r="7" spans="2:3" x14ac:dyDescent="0.2">
      <c r="B7" s="2" t="s">
        <v>121</v>
      </c>
      <c r="C7" s="77">
        <f>ROUND(269/7,2)</f>
        <v>38.43</v>
      </c>
    </row>
    <row r="8" spans="2:3" x14ac:dyDescent="0.2">
      <c r="B8" s="2" t="s">
        <v>122</v>
      </c>
      <c r="C8" s="77">
        <f>ROUND(404/7,2)</f>
        <v>57.71</v>
      </c>
    </row>
    <row r="9" spans="2:3" x14ac:dyDescent="0.2">
      <c r="B9" s="2" t="s">
        <v>123</v>
      </c>
      <c r="C9" s="77">
        <f>ROUND(539/7,2)</f>
        <v>77</v>
      </c>
    </row>
    <row r="10" spans="2:3" x14ac:dyDescent="0.2">
      <c r="B10" s="2" t="s">
        <v>124</v>
      </c>
      <c r="C10" s="77">
        <f>ROUND(337/7,2)</f>
        <v>48.14</v>
      </c>
    </row>
    <row r="11" spans="2:3" x14ac:dyDescent="0.2">
      <c r="B11" s="2" t="s">
        <v>125</v>
      </c>
      <c r="C11" s="77">
        <f>ROUND(472/7,2)</f>
        <v>67.430000000000007</v>
      </c>
    </row>
    <row r="12" spans="2:3" x14ac:dyDescent="0.2">
      <c r="B12" s="2" t="s">
        <v>126</v>
      </c>
      <c r="C12" s="77">
        <f>ROUND(540/7,2)</f>
        <v>77.14</v>
      </c>
    </row>
    <row r="13" spans="2:3" x14ac:dyDescent="0.2">
      <c r="B13" s="2" t="s">
        <v>127</v>
      </c>
      <c r="C13" s="77">
        <f>ROUND(608/7,2)</f>
        <v>86.86</v>
      </c>
    </row>
    <row r="14" spans="2:3" x14ac:dyDescent="0.2">
      <c r="B14" s="2" t="s">
        <v>128</v>
      </c>
      <c r="C14" s="77">
        <f>ROUND(607/7,2)</f>
        <v>86.71</v>
      </c>
    </row>
    <row r="15" spans="2:3" x14ac:dyDescent="0.2">
      <c r="B15" s="2" t="s">
        <v>129</v>
      </c>
      <c r="C15" s="77">
        <f>ROUND(675/7,2)</f>
        <v>96.43</v>
      </c>
    </row>
    <row r="16" spans="2:3" x14ac:dyDescent="0.2">
      <c r="B16" s="2" t="s">
        <v>130</v>
      </c>
      <c r="C16" s="77">
        <f>ROUND(674/7,2)</f>
        <v>96.29</v>
      </c>
    </row>
    <row r="17" spans="2:6" x14ac:dyDescent="0.2">
      <c r="B17" s="2"/>
    </row>
    <row r="18" spans="2:6" x14ac:dyDescent="0.2">
      <c r="B18" s="2"/>
    </row>
    <row r="19" spans="2:6" x14ac:dyDescent="0.2">
      <c r="B19" s="2" t="s">
        <v>24</v>
      </c>
      <c r="C19" s="3" t="s">
        <v>106</v>
      </c>
    </row>
    <row r="20" spans="2:6" x14ac:dyDescent="0.2">
      <c r="B20" s="2" t="s">
        <v>2</v>
      </c>
      <c r="C20" s="3" t="s">
        <v>107</v>
      </c>
    </row>
    <row r="24" spans="2:6" x14ac:dyDescent="0.2">
      <c r="B24" s="3" t="s">
        <v>82</v>
      </c>
      <c r="C24" s="2"/>
      <c r="D24" s="2"/>
    </row>
    <row r="25" spans="2:6" x14ac:dyDescent="0.2">
      <c r="B25" s="3" t="s">
        <v>50</v>
      </c>
      <c r="C25" s="2" t="s">
        <v>94</v>
      </c>
      <c r="E25" s="3">
        <f>IF(AND(B25=Sheet1!$B$33,Sheet1!$B$42="No"),1,0)</f>
        <v>0</v>
      </c>
      <c r="F25" s="3">
        <f>IF(AND(B25=Sheet1!$B$33,Sheet1!$B$42="Yes"),1,0)</f>
        <v>0</v>
      </c>
    </row>
    <row r="26" spans="2:6" x14ac:dyDescent="0.2">
      <c r="B26" s="3" t="s">
        <v>51</v>
      </c>
      <c r="C26" s="2" t="s">
        <v>93</v>
      </c>
      <c r="D26" s="2" t="s">
        <v>102</v>
      </c>
      <c r="E26" s="3">
        <f>IF(AND(B26=Sheet1!$B$33,Sheet1!$B$42="No"),1,0)</f>
        <v>0</v>
      </c>
      <c r="F26" s="3">
        <f>IF(AND(B26=Sheet1!$B$33,Sheet1!$B$42="Yes"),1,0)</f>
        <v>0</v>
      </c>
    </row>
    <row r="27" spans="2:6" x14ac:dyDescent="0.2">
      <c r="B27" s="3" t="s">
        <v>52</v>
      </c>
      <c r="C27" s="2" t="s">
        <v>93</v>
      </c>
      <c r="D27" s="2" t="s">
        <v>102</v>
      </c>
      <c r="E27" s="3">
        <f>IF(AND(B27=Sheet1!$B$33,Sheet1!$B$42="No"),1,0)</f>
        <v>0</v>
      </c>
      <c r="F27" s="3">
        <f>IF(AND(B27=Sheet1!$B$33,Sheet1!$B$42="Yes"),1,0)</f>
        <v>0</v>
      </c>
    </row>
    <row r="28" spans="2:6" x14ac:dyDescent="0.2">
      <c r="B28" s="3" t="s">
        <v>53</v>
      </c>
      <c r="C28" s="2" t="s">
        <v>93</v>
      </c>
      <c r="D28" s="2" t="s">
        <v>102</v>
      </c>
      <c r="E28" s="3">
        <f>IF(AND(B28=Sheet1!$B$33,Sheet1!$B$42="No"),1,0)</f>
        <v>0</v>
      </c>
      <c r="F28" s="3">
        <f>IF(AND(B28=Sheet1!$B$33,Sheet1!$B$42="Yes"),1,0)</f>
        <v>0</v>
      </c>
    </row>
    <row r="29" spans="2:6" x14ac:dyDescent="0.2">
      <c r="B29" s="3" t="s">
        <v>92</v>
      </c>
      <c r="C29" s="2" t="s">
        <v>94</v>
      </c>
      <c r="D29" s="2"/>
      <c r="E29" s="3">
        <f>IF(AND(B29=Sheet1!$B$33,Sheet1!$B$42="No"),1,0)</f>
        <v>0</v>
      </c>
      <c r="F29" s="3">
        <f>IF(AND(B29=Sheet1!$B$33,Sheet1!$B$42="Yes"),1,0)</f>
        <v>0</v>
      </c>
    </row>
    <row r="30" spans="2:6" x14ac:dyDescent="0.2">
      <c r="B30" s="3" t="s">
        <v>54</v>
      </c>
      <c r="C30" s="2" t="s">
        <v>94</v>
      </c>
      <c r="D30" s="2"/>
      <c r="E30" s="3">
        <f>IF(AND(B30=Sheet1!$B$33,Sheet1!$B$42="No"),1,0)</f>
        <v>0</v>
      </c>
      <c r="F30" s="3">
        <f>IF(AND(B30=Sheet1!$B$33,Sheet1!$B$42="Yes"),1,0)</f>
        <v>0</v>
      </c>
    </row>
    <row r="31" spans="2:6" x14ac:dyDescent="0.2">
      <c r="B31" s="3" t="s">
        <v>55</v>
      </c>
      <c r="C31" s="2" t="s">
        <v>94</v>
      </c>
      <c r="D31" s="2"/>
      <c r="E31" s="3">
        <f>IF(AND(B31=Sheet1!$B$33,Sheet1!$B$42="No"),1,0)</f>
        <v>0</v>
      </c>
      <c r="F31" s="3">
        <f>IF(AND(B31=Sheet1!$B$33,Sheet1!$B$42="Yes"),1,0)</f>
        <v>0</v>
      </c>
    </row>
    <row r="32" spans="2:6" x14ac:dyDescent="0.2">
      <c r="B32" s="3" t="s">
        <v>56</v>
      </c>
      <c r="C32" s="2" t="s">
        <v>93</v>
      </c>
      <c r="D32" s="2" t="s">
        <v>102</v>
      </c>
      <c r="E32" s="3">
        <f>IF(AND(B32=Sheet1!$B$33,Sheet1!$B$42="No"),1,0)</f>
        <v>0</v>
      </c>
      <c r="F32" s="3">
        <f>IF(AND(B32=Sheet1!$B$33,Sheet1!$B$42="Yes"),1,0)</f>
        <v>0</v>
      </c>
    </row>
    <row r="33" spans="2:6" x14ac:dyDescent="0.2">
      <c r="B33" s="3" t="s">
        <v>57</v>
      </c>
      <c r="C33" s="2" t="s">
        <v>100</v>
      </c>
      <c r="D33" s="2"/>
      <c r="E33" s="3">
        <f>IF(AND(B33=Sheet1!$B$33,Sheet1!$B$42="No"),1,0)</f>
        <v>0</v>
      </c>
      <c r="F33" s="3">
        <f>IF(AND(B33=Sheet1!$B$33,Sheet1!$B$42="Yes"),1,0)</f>
        <v>0</v>
      </c>
    </row>
    <row r="34" spans="2:6" x14ac:dyDescent="0.2">
      <c r="B34" s="3" t="s">
        <v>58</v>
      </c>
      <c r="C34" s="2" t="s">
        <v>93</v>
      </c>
      <c r="D34" s="2" t="s">
        <v>102</v>
      </c>
      <c r="E34" s="3">
        <f>IF(AND(B34=Sheet1!$B$33,Sheet1!$B$42="No"),1,0)</f>
        <v>0</v>
      </c>
      <c r="F34" s="3">
        <f>IF(AND(B34=Sheet1!$B$33,Sheet1!$B$42="Yes"),1,0)</f>
        <v>0</v>
      </c>
    </row>
    <row r="35" spans="2:6" x14ac:dyDescent="0.2">
      <c r="B35" s="3" t="s">
        <v>59</v>
      </c>
      <c r="C35" s="2" t="s">
        <v>93</v>
      </c>
      <c r="D35" s="2" t="s">
        <v>102</v>
      </c>
      <c r="E35" s="3">
        <f>IF(AND(B35=Sheet1!$B$33,Sheet1!$B$42="No"),1,0)</f>
        <v>0</v>
      </c>
      <c r="F35" s="3">
        <f>IF(AND(B35=Sheet1!$B$33,Sheet1!$B$42="Yes"),1,0)</f>
        <v>0</v>
      </c>
    </row>
    <row r="36" spans="2:6" x14ac:dyDescent="0.2">
      <c r="B36" s="3" t="s">
        <v>60</v>
      </c>
      <c r="C36" s="2" t="s">
        <v>100</v>
      </c>
      <c r="D36" s="2"/>
      <c r="E36" s="3">
        <f>IF(AND(B36=Sheet1!$B$33,Sheet1!$B$42="No"),1,0)</f>
        <v>0</v>
      </c>
      <c r="F36" s="3">
        <f>IF(AND(B36=Sheet1!$B$33,Sheet1!$B$42="Yes"),1,0)</f>
        <v>0</v>
      </c>
    </row>
    <row r="37" spans="2:6" x14ac:dyDescent="0.2">
      <c r="B37" s="3" t="s">
        <v>61</v>
      </c>
      <c r="C37" s="2" t="s">
        <v>95</v>
      </c>
      <c r="D37" s="2"/>
      <c r="E37" s="3">
        <f>IF(AND(B37=Sheet1!$B$33,Sheet1!$B$42="No"),1,0)</f>
        <v>0</v>
      </c>
      <c r="F37" s="3">
        <f>IF(AND(B37=Sheet1!$B$33,Sheet1!$B$42="Yes"),1,0)</f>
        <v>0</v>
      </c>
    </row>
    <row r="38" spans="2:6" x14ac:dyDescent="0.2">
      <c r="B38" s="3" t="s">
        <v>62</v>
      </c>
      <c r="C38" s="2" t="s">
        <v>93</v>
      </c>
      <c r="D38" s="2" t="s">
        <v>102</v>
      </c>
      <c r="E38" s="3">
        <f>IF(AND(B38=Sheet1!$B$33,Sheet1!$B$42="No"),1,0)</f>
        <v>0</v>
      </c>
      <c r="F38" s="3">
        <f>IF(AND(B38=Sheet1!$B$33,Sheet1!$B$42="Yes"),1,0)</f>
        <v>0</v>
      </c>
    </row>
    <row r="39" spans="2:6" x14ac:dyDescent="0.2">
      <c r="B39" s="3" t="s">
        <v>63</v>
      </c>
      <c r="C39" s="2" t="s">
        <v>93</v>
      </c>
      <c r="D39" s="2" t="s">
        <v>102</v>
      </c>
      <c r="E39" s="3">
        <f>IF(AND(B39=Sheet1!$B$33,Sheet1!$B$42="No"),1,0)</f>
        <v>0</v>
      </c>
      <c r="F39" s="3">
        <f>IF(AND(B39=Sheet1!$B$33,Sheet1!$B$42="Yes"),1,0)</f>
        <v>0</v>
      </c>
    </row>
    <row r="40" spans="2:6" x14ac:dyDescent="0.2">
      <c r="B40" s="3" t="s">
        <v>64</v>
      </c>
      <c r="C40" s="2" t="s">
        <v>100</v>
      </c>
      <c r="D40" s="2"/>
      <c r="E40" s="3">
        <f>IF(AND(B40=Sheet1!$B$33,Sheet1!$B$42="No"),1,0)</f>
        <v>0</v>
      </c>
      <c r="F40" s="3">
        <f>IF(AND(B40=Sheet1!$B$33,Sheet1!$B$42="Yes"),1,0)</f>
        <v>0</v>
      </c>
    </row>
    <row r="41" spans="2:6" x14ac:dyDescent="0.2">
      <c r="B41" s="3" t="s">
        <v>140</v>
      </c>
      <c r="C41" s="2" t="s">
        <v>93</v>
      </c>
      <c r="D41" s="2"/>
      <c r="E41" s="3">
        <f>IF(AND(B41=Sheet1!$B$33,Sheet1!$B$42="No"),1,0)</f>
        <v>0</v>
      </c>
      <c r="F41" s="3">
        <f>IF(AND(B41=Sheet1!$B$33,Sheet1!$B$42="Yes"),1,0)</f>
        <v>0</v>
      </c>
    </row>
    <row r="42" spans="2:6" x14ac:dyDescent="0.2">
      <c r="B42" s="3" t="s">
        <v>65</v>
      </c>
      <c r="C42" s="2" t="s">
        <v>100</v>
      </c>
      <c r="D42" s="2"/>
      <c r="E42" s="3">
        <f>IF(AND(B42=Sheet1!$B$33,Sheet1!$B$42="No"),1,0)</f>
        <v>0</v>
      </c>
      <c r="F42" s="3">
        <f>IF(AND(B42=Sheet1!$B$33,Sheet1!$B$42="Yes"),1,0)</f>
        <v>0</v>
      </c>
    </row>
    <row r="43" spans="2:6" x14ac:dyDescent="0.2">
      <c r="B43" s="3" t="s">
        <v>66</v>
      </c>
      <c r="C43" s="2" t="s">
        <v>100</v>
      </c>
      <c r="D43" s="2"/>
      <c r="E43" s="3">
        <f>IF(AND(B43=Sheet1!$B$33,Sheet1!$B$42="No"),1,0)</f>
        <v>0</v>
      </c>
      <c r="F43" s="3">
        <f>IF(AND(B43=Sheet1!$B$33,Sheet1!$B$42="Yes"),1,0)</f>
        <v>0</v>
      </c>
    </row>
    <row r="44" spans="2:6" x14ac:dyDescent="0.2">
      <c r="B44" s="3" t="s">
        <v>67</v>
      </c>
      <c r="C44" s="2" t="s">
        <v>94</v>
      </c>
      <c r="D44" s="2"/>
      <c r="E44" s="3">
        <f>IF(AND(B44=Sheet1!$B$33,Sheet1!$B$42="No"),1,0)</f>
        <v>0</v>
      </c>
      <c r="F44" s="3">
        <f>IF(AND(B44=Sheet1!$B$33,Sheet1!$B$42="Yes"),1,0)</f>
        <v>0</v>
      </c>
    </row>
    <row r="45" spans="2:6" x14ac:dyDescent="0.2">
      <c r="B45" s="3" t="s">
        <v>68</v>
      </c>
      <c r="C45" s="2" t="s">
        <v>93</v>
      </c>
      <c r="D45" s="2" t="s">
        <v>102</v>
      </c>
      <c r="E45" s="3">
        <f>IF(AND(B45=Sheet1!$B$33,Sheet1!$B$42="No"),1,0)</f>
        <v>0</v>
      </c>
      <c r="F45" s="3">
        <f>IF(AND(B45=Sheet1!$B$33,Sheet1!$B$42="Yes"),1,0)</f>
        <v>0</v>
      </c>
    </row>
    <row r="46" spans="2:6" x14ac:dyDescent="0.2">
      <c r="B46" s="3" t="s">
        <v>69</v>
      </c>
      <c r="C46" s="2" t="s">
        <v>159</v>
      </c>
      <c r="D46" s="2"/>
      <c r="E46" s="3">
        <f>IF(AND(B46=Sheet1!$B$33,Sheet1!$B$42="No"),1,0)</f>
        <v>0</v>
      </c>
      <c r="F46" s="3">
        <f>IF(AND(B46=Sheet1!$B$33,Sheet1!$B$42="Yes"),1,0)</f>
        <v>0</v>
      </c>
    </row>
    <row r="47" spans="2:6" x14ac:dyDescent="0.2">
      <c r="B47" s="3" t="s">
        <v>70</v>
      </c>
      <c r="C47" s="2" t="s">
        <v>100</v>
      </c>
      <c r="D47" s="2"/>
      <c r="E47" s="3">
        <f>IF(AND(B47=Sheet1!$B$33,Sheet1!$B$42="No"),1,0)</f>
        <v>0</v>
      </c>
      <c r="F47" s="3">
        <f>IF(AND(B47=Sheet1!$B$33,Sheet1!$B$42="Yes"),1,0)</f>
        <v>0</v>
      </c>
    </row>
    <row r="48" spans="2:6" x14ac:dyDescent="0.2">
      <c r="B48" s="3" t="s">
        <v>71</v>
      </c>
      <c r="C48" s="2" t="s">
        <v>93</v>
      </c>
      <c r="D48" s="2" t="s">
        <v>102</v>
      </c>
      <c r="E48" s="3">
        <f>IF(AND(B48=Sheet1!$B$33,Sheet1!$B$42="No"),1,0)</f>
        <v>0</v>
      </c>
      <c r="F48" s="3">
        <f>IF(AND(B48=Sheet1!$B$33,Sheet1!$B$42="Yes"),1,0)</f>
        <v>0</v>
      </c>
    </row>
    <row r="49" spans="2:6" x14ac:dyDescent="0.2">
      <c r="B49" s="3" t="s">
        <v>72</v>
      </c>
      <c r="C49" s="2" t="s">
        <v>93</v>
      </c>
      <c r="D49" s="2" t="s">
        <v>102</v>
      </c>
      <c r="E49" s="3">
        <f>IF(AND(B49=Sheet1!$B$33,Sheet1!$B$42="No"),1,0)</f>
        <v>0</v>
      </c>
      <c r="F49" s="3">
        <f>IF(AND(B49=Sheet1!$B$33,Sheet1!$B$42="Yes"),1,0)</f>
        <v>0</v>
      </c>
    </row>
    <row r="50" spans="2:6" x14ac:dyDescent="0.2">
      <c r="B50" s="3" t="s">
        <v>73</v>
      </c>
      <c r="C50" s="2" t="s">
        <v>93</v>
      </c>
      <c r="D50" s="2" t="s">
        <v>102</v>
      </c>
      <c r="E50" s="3">
        <f>IF(AND(B50=Sheet1!$B$33,Sheet1!$B$42="No"),1,0)</f>
        <v>0</v>
      </c>
      <c r="F50" s="3">
        <f>IF(AND(B50=Sheet1!$B$33,Sheet1!$B$42="Yes"),1,0)</f>
        <v>0</v>
      </c>
    </row>
    <row r="51" spans="2:6" x14ac:dyDescent="0.2">
      <c r="B51" s="3" t="s">
        <v>74</v>
      </c>
      <c r="C51" s="2" t="s">
        <v>93</v>
      </c>
      <c r="D51" s="2" t="s">
        <v>102</v>
      </c>
      <c r="E51" s="3">
        <f>IF(AND(B51=Sheet1!$B$33,Sheet1!$B$42="No"),1,0)</f>
        <v>0</v>
      </c>
      <c r="F51" s="3">
        <f>IF(AND(B51=Sheet1!$B$33,Sheet1!$B$42="Yes"),1,0)</f>
        <v>0</v>
      </c>
    </row>
    <row r="52" spans="2:6" x14ac:dyDescent="0.2">
      <c r="B52" s="3" t="s">
        <v>75</v>
      </c>
      <c r="C52" s="2" t="s">
        <v>94</v>
      </c>
      <c r="D52" s="2"/>
      <c r="E52" s="3">
        <f>IF(AND(B52=Sheet1!$B$33,Sheet1!$B$42="No"),1,0)</f>
        <v>0</v>
      </c>
      <c r="F52" s="3">
        <f>IF(AND(B52=Sheet1!$B$33,Sheet1!$B$42="Yes"),1,0)</f>
        <v>0</v>
      </c>
    </row>
    <row r="53" spans="2:6" x14ac:dyDescent="0.2">
      <c r="B53" s="3" t="s">
        <v>76</v>
      </c>
      <c r="C53" s="2" t="s">
        <v>93</v>
      </c>
      <c r="D53" s="2" t="s">
        <v>102</v>
      </c>
      <c r="E53" s="3">
        <f>IF(AND(B53=Sheet1!$B$33,Sheet1!$B$42="No"),1,0)</f>
        <v>0</v>
      </c>
      <c r="F53" s="3">
        <f>IF(AND(B53=Sheet1!$B$33,Sheet1!$B$42="Yes"),1,0)</f>
        <v>0</v>
      </c>
    </row>
    <row r="54" spans="2:6" x14ac:dyDescent="0.2">
      <c r="B54" s="3" t="s">
        <v>77</v>
      </c>
      <c r="C54" s="2" t="s">
        <v>100</v>
      </c>
      <c r="D54" s="2"/>
      <c r="E54" s="3">
        <f>IF(AND(B54=Sheet1!$B$33,Sheet1!$B$42="No"),1,0)</f>
        <v>0</v>
      </c>
      <c r="F54" s="3">
        <f>IF(AND(B54=Sheet1!$B$33,Sheet1!$B$42="Yes"),1,0)</f>
        <v>0</v>
      </c>
    </row>
    <row r="55" spans="2:6" x14ac:dyDescent="0.2">
      <c r="B55" s="3" t="s">
        <v>78</v>
      </c>
      <c r="C55" s="2" t="s">
        <v>93</v>
      </c>
      <c r="D55" s="2" t="s">
        <v>102</v>
      </c>
      <c r="E55" s="3">
        <f>IF(AND(B55=Sheet1!$B$33,Sheet1!$B$42="No"),1,0)</f>
        <v>0</v>
      </c>
      <c r="F55" s="3">
        <f>IF(AND(B55=Sheet1!$B$33,Sheet1!$B$42="Yes"),1,0)</f>
        <v>0</v>
      </c>
    </row>
    <row r="56" spans="2:6" x14ac:dyDescent="0.2">
      <c r="B56" s="3" t="s">
        <v>79</v>
      </c>
      <c r="C56" s="2" t="s">
        <v>93</v>
      </c>
      <c r="D56" s="2" t="s">
        <v>102</v>
      </c>
      <c r="E56" s="3">
        <f>IF(AND(B56=Sheet1!$B$33,Sheet1!$B$42="No"),1,0)</f>
        <v>0</v>
      </c>
      <c r="F56" s="3">
        <f>IF(AND(B56=Sheet1!$B$33,Sheet1!$B$42="Yes"),1,0)</f>
        <v>0</v>
      </c>
    </row>
    <row r="57" spans="2:6" x14ac:dyDescent="0.2">
      <c r="B57" s="3" t="s">
        <v>158</v>
      </c>
      <c r="C57" s="2" t="s">
        <v>93</v>
      </c>
      <c r="D57" s="2" t="s">
        <v>102</v>
      </c>
      <c r="E57" s="3">
        <f>IF(AND(B57=Sheet1!$B$33,Sheet1!$B$42="No"),1,0)</f>
        <v>0</v>
      </c>
      <c r="F57" s="3">
        <f>IF(AND(B57=Sheet1!$B$33,Sheet1!$B$42="Yes"),1,0)</f>
        <v>0</v>
      </c>
    </row>
    <row r="58" spans="2:6" x14ac:dyDescent="0.2">
      <c r="B58" s="3" t="s">
        <v>80</v>
      </c>
      <c r="C58" s="2" t="s">
        <v>100</v>
      </c>
      <c r="D58" s="2"/>
      <c r="E58" s="3">
        <f>IF(AND(B58=Sheet1!$B$33,Sheet1!$B$42="No"),1,0)</f>
        <v>0</v>
      </c>
      <c r="F58" s="3">
        <f>IF(AND(B58=Sheet1!$B$33,Sheet1!$B$42="Yes"),1,0)</f>
        <v>0</v>
      </c>
    </row>
    <row r="59" spans="2:6" x14ac:dyDescent="0.2">
      <c r="B59" s="3" t="s">
        <v>91</v>
      </c>
      <c r="C59" s="2" t="s">
        <v>94</v>
      </c>
      <c r="D59" s="2"/>
      <c r="E59" s="3">
        <f>IF(AND(B59=Sheet1!$B$33,Sheet1!$B$42="No"),1,0)</f>
        <v>0</v>
      </c>
      <c r="F59" s="3">
        <f>IF(AND(B59=Sheet1!$B$33,Sheet1!$B$42="Yes"),1,0)</f>
        <v>0</v>
      </c>
    </row>
    <row r="60" spans="2:6" x14ac:dyDescent="0.2">
      <c r="B60" s="3" t="s">
        <v>48</v>
      </c>
      <c r="C60" s="2" t="s">
        <v>100</v>
      </c>
      <c r="D60" s="2"/>
      <c r="E60" s="3">
        <f>IF(AND(B60=Sheet1!$B$33,Sheet1!$B$42="No"),1,0)</f>
        <v>0</v>
      </c>
      <c r="F60" s="3">
        <f>IF(AND(B60=Sheet1!$B$33,Sheet1!$B$42="Yes"),1,0)</f>
        <v>0</v>
      </c>
    </row>
    <row r="61" spans="2:6" x14ac:dyDescent="0.2">
      <c r="B61" s="3" t="s">
        <v>81</v>
      </c>
      <c r="C61" s="2" t="s">
        <v>93</v>
      </c>
      <c r="D61" s="2" t="s">
        <v>102</v>
      </c>
      <c r="E61" s="3">
        <f>IF(AND(B61=Sheet1!$B$33,Sheet1!$B$42="No"),1,0)</f>
        <v>0</v>
      </c>
      <c r="F61" s="3">
        <f>IF(AND(B61=Sheet1!$B$33,Sheet1!$B$42="Yes"),1,0)</f>
        <v>0</v>
      </c>
    </row>
    <row r="62" spans="2:6" x14ac:dyDescent="0.2">
      <c r="C62" s="2"/>
      <c r="D62" s="2"/>
    </row>
    <row r="67" spans="2:4" x14ac:dyDescent="0.2">
      <c r="B67" s="3" t="s">
        <v>50</v>
      </c>
      <c r="C67" s="3">
        <f>IF(Sheet1!$B$33=Sheet2!B67,1,0)</f>
        <v>0</v>
      </c>
      <c r="D67" s="3">
        <f>IF(AND(B67=Sheet1!$B$33,Sheet1!$B$36="Yes"),1,0)</f>
        <v>0</v>
      </c>
    </row>
    <row r="68" spans="2:4" x14ac:dyDescent="0.2">
      <c r="B68" s="3" t="s">
        <v>52</v>
      </c>
      <c r="C68" s="3">
        <f>IF(Sheet1!$B$33=Sheet2!B68,1,0)</f>
        <v>0</v>
      </c>
      <c r="D68" s="3">
        <f>IF(AND(B68=Sheet1!$B$33,Sheet1!$B$36="Yes"),1,0)</f>
        <v>0</v>
      </c>
    </row>
    <row r="69" spans="2:4" x14ac:dyDescent="0.2">
      <c r="B69" s="3" t="s">
        <v>54</v>
      </c>
      <c r="C69" s="3">
        <f>IF(Sheet1!$B$33=Sheet2!B69,1,0)</f>
        <v>0</v>
      </c>
      <c r="D69" s="3">
        <f>IF(AND(B69=Sheet1!$B$33,Sheet1!$B$36="Yes"),1,0)</f>
        <v>0</v>
      </c>
    </row>
    <row r="70" spans="2:4" x14ac:dyDescent="0.2">
      <c r="B70" s="3" t="s">
        <v>57</v>
      </c>
      <c r="C70" s="3">
        <f>IF(Sheet1!$B$33=Sheet2!B70,1,0)</f>
        <v>0</v>
      </c>
      <c r="D70" s="3">
        <f>IF(AND(B70=Sheet1!$B$33,Sheet1!$B$36="Yes"),1,0)</f>
        <v>0</v>
      </c>
    </row>
    <row r="71" spans="2:4" x14ac:dyDescent="0.2">
      <c r="B71" s="3" t="s">
        <v>58</v>
      </c>
      <c r="C71" s="3">
        <f>IF(Sheet1!$B$33=Sheet2!B71,1,0)</f>
        <v>0</v>
      </c>
      <c r="D71" s="3">
        <f>IF(AND(B71=Sheet1!$B$33,Sheet1!$B$36="Yes"),1,0)</f>
        <v>0</v>
      </c>
    </row>
    <row r="72" spans="2:4" x14ac:dyDescent="0.2">
      <c r="B72" s="3" t="s">
        <v>59</v>
      </c>
      <c r="C72" s="3">
        <f>IF(Sheet1!$B$33=Sheet2!B72,1,0)</f>
        <v>0</v>
      </c>
      <c r="D72" s="3">
        <f>IF(AND(B72=Sheet1!$B$33,Sheet1!$B$36="Yes"),1,0)</f>
        <v>0</v>
      </c>
    </row>
    <row r="73" spans="2:4" x14ac:dyDescent="0.2">
      <c r="B73" s="3" t="s">
        <v>60</v>
      </c>
      <c r="C73" s="3">
        <f>IF(Sheet1!$B$33=Sheet2!B73,1,0)</f>
        <v>0</v>
      </c>
      <c r="D73" s="3">
        <f>IF(AND(B73=Sheet1!$B$33,Sheet1!$B$36="Yes"),1,0)</f>
        <v>0</v>
      </c>
    </row>
    <row r="74" spans="2:4" x14ac:dyDescent="0.2">
      <c r="B74" s="3" t="s">
        <v>61</v>
      </c>
      <c r="C74" s="3">
        <f>IF(Sheet1!$B$33=Sheet2!B74,1,0)</f>
        <v>0</v>
      </c>
      <c r="D74" s="3">
        <f>IF(AND(B74=Sheet1!$B$33,Sheet1!$B$36="Yes"),1,0)</f>
        <v>0</v>
      </c>
    </row>
    <row r="75" spans="2:4" x14ac:dyDescent="0.2">
      <c r="B75" s="3" t="s">
        <v>62</v>
      </c>
      <c r="C75" s="3">
        <f>IF(Sheet1!$B$33=Sheet2!B75,1,0)</f>
        <v>0</v>
      </c>
      <c r="D75" s="3">
        <f>IF(AND(B75=Sheet1!$B$33,Sheet1!$B$36="Yes"),1,0)</f>
        <v>0</v>
      </c>
    </row>
    <row r="76" spans="2:4" x14ac:dyDescent="0.2">
      <c r="B76" s="3" t="s">
        <v>63</v>
      </c>
      <c r="C76" s="3">
        <f>IF(Sheet1!$B$33=Sheet2!B76,1,0)</f>
        <v>0</v>
      </c>
      <c r="D76" s="3">
        <f>IF(AND(B76=Sheet1!$B$33,Sheet1!$B$36="Yes"),1,0)</f>
        <v>0</v>
      </c>
    </row>
    <row r="77" spans="2:4" x14ac:dyDescent="0.2">
      <c r="B77" s="3" t="s">
        <v>140</v>
      </c>
      <c r="C77" s="3">
        <f>IF(Sheet1!$B$33=Sheet2!B77,1,0)</f>
        <v>0</v>
      </c>
      <c r="D77" s="3">
        <f>IF(AND(B77=Sheet1!$B$33,Sheet1!$B$36="Yes"),1,0)</f>
        <v>0</v>
      </c>
    </row>
    <row r="78" spans="2:4" x14ac:dyDescent="0.2">
      <c r="B78" s="3" t="s">
        <v>65</v>
      </c>
      <c r="C78" s="3">
        <f>IF(Sheet1!$B$33=Sheet2!B78,1,0)</f>
        <v>0</v>
      </c>
      <c r="D78" s="3">
        <f>IF(AND(B78=Sheet1!$B$33,Sheet1!$B$36="Yes"),1,0)</f>
        <v>0</v>
      </c>
    </row>
    <row r="79" spans="2:4" x14ac:dyDescent="0.2">
      <c r="B79" s="3" t="s">
        <v>68</v>
      </c>
      <c r="C79" s="3">
        <f>IF(Sheet1!$B$33=Sheet2!B79,1,0)</f>
        <v>0</v>
      </c>
      <c r="D79" s="3">
        <f>IF(AND(B79=Sheet1!$B$33,Sheet1!$B$36="Yes"),1,0)</f>
        <v>0</v>
      </c>
    </row>
    <row r="80" spans="2:4" x14ac:dyDescent="0.2">
      <c r="B80" s="3" t="s">
        <v>83</v>
      </c>
      <c r="C80" s="3">
        <f>IF(Sheet1!$B$33=Sheet2!B80,1,0)</f>
        <v>0</v>
      </c>
      <c r="D80" s="3">
        <f>IF(AND(B80=Sheet1!$B$33,Sheet1!$B$36="Yes"),1,0)</f>
        <v>0</v>
      </c>
    </row>
    <row r="81" spans="2:4" x14ac:dyDescent="0.2">
      <c r="B81" s="3" t="s">
        <v>71</v>
      </c>
      <c r="C81" s="3">
        <f>IF(Sheet1!$B$33=Sheet2!B81,1,0)</f>
        <v>0</v>
      </c>
      <c r="D81" s="3">
        <f>IF(AND(B81=Sheet1!$B$33,Sheet1!$B$36="Yes"),1,0)</f>
        <v>0</v>
      </c>
    </row>
    <row r="82" spans="2:4" x14ac:dyDescent="0.2">
      <c r="B82" s="3" t="s">
        <v>78</v>
      </c>
      <c r="C82" s="3">
        <f>IF(Sheet1!$B$33=Sheet2!B82,1,0)</f>
        <v>0</v>
      </c>
      <c r="D82" s="3">
        <f>IF(AND(B82=Sheet1!$B$33,Sheet1!$B$36="Yes"),1,0)</f>
        <v>0</v>
      </c>
    </row>
    <row r="83" spans="2:4" x14ac:dyDescent="0.2">
      <c r="B83" s="3" t="s">
        <v>80</v>
      </c>
      <c r="C83" s="3">
        <f>IF(Sheet1!$B$33=Sheet2!B83,1,0)</f>
        <v>0</v>
      </c>
      <c r="D83" s="3">
        <f>IF(AND(B83=Sheet1!$B$33,Sheet1!$B$36="Yes"),1,0)</f>
        <v>0</v>
      </c>
    </row>
    <row r="84" spans="2:4" x14ac:dyDescent="0.2">
      <c r="B84" s="3" t="s">
        <v>91</v>
      </c>
      <c r="C84" s="3">
        <f>IF(Sheet1!$B$33=Sheet2!B84,1,0)</f>
        <v>0</v>
      </c>
      <c r="D84" s="3">
        <f>IF(AND(B84=Sheet1!$B$33,Sheet1!$B$36="Yes"),1,0)</f>
        <v>0</v>
      </c>
    </row>
    <row r="90" spans="2:4" ht="12.75" x14ac:dyDescent="0.2">
      <c r="B90" s="1" t="s">
        <v>25</v>
      </c>
      <c r="C90" s="1"/>
      <c r="D90" s="82" t="s">
        <v>161</v>
      </c>
    </row>
    <row r="91" spans="2:4" ht="12.75" x14ac:dyDescent="0.2">
      <c r="B91" s="1"/>
      <c r="C91" s="1"/>
      <c r="D91" s="1"/>
    </row>
    <row r="92" spans="2:4" ht="12.75" x14ac:dyDescent="0.2">
      <c r="B92" s="1" t="s">
        <v>103</v>
      </c>
      <c r="C92" s="1"/>
      <c r="D92" s="1">
        <v>0</v>
      </c>
    </row>
    <row r="93" spans="2:4" ht="12.75" x14ac:dyDescent="0.2">
      <c r="B93" s="1" t="s">
        <v>5</v>
      </c>
      <c r="C93" s="1"/>
      <c r="D93" s="1">
        <v>175</v>
      </c>
    </row>
    <row r="94" spans="2:4" ht="12.75" x14ac:dyDescent="0.2">
      <c r="B94" s="1" t="s">
        <v>6</v>
      </c>
      <c r="C94" s="1"/>
      <c r="D94" s="1">
        <f>D93/2</f>
        <v>87.5</v>
      </c>
    </row>
    <row r="95" spans="2:4" ht="12.75" x14ac:dyDescent="0.2">
      <c r="B95" s="1" t="s">
        <v>0</v>
      </c>
      <c r="C95" s="1"/>
      <c r="D95" s="1">
        <f>28.15+31.65+53.9</f>
        <v>113.69999999999999</v>
      </c>
    </row>
    <row r="96" spans="2:4" ht="12.75" x14ac:dyDescent="0.2">
      <c r="B96" s="1" t="s">
        <v>1</v>
      </c>
      <c r="C96" s="1"/>
      <c r="D96" s="1">
        <v>20.05</v>
      </c>
    </row>
    <row r="100" spans="2:6" x14ac:dyDescent="0.2">
      <c r="B100" s="3" t="s">
        <v>84</v>
      </c>
      <c r="E100" s="3" t="s">
        <v>114</v>
      </c>
      <c r="F100" s="3" t="s">
        <v>115</v>
      </c>
    </row>
    <row r="102" spans="2:6" x14ac:dyDescent="0.2">
      <c r="B102" s="3" t="s">
        <v>85</v>
      </c>
    </row>
    <row r="103" spans="2:6" x14ac:dyDescent="0.2">
      <c r="B103" s="66" t="s">
        <v>86</v>
      </c>
      <c r="C103" s="66" t="str">
        <f>IF(AND(Sheet1!B24="Yes",Sheet1!B27="No"),"Yes","")</f>
        <v/>
      </c>
      <c r="D103" s="66" t="s">
        <v>113</v>
      </c>
      <c r="E103" s="68">
        <f>IF(C103="",0,Sheet1!E66)</f>
        <v>0</v>
      </c>
      <c r="F103" s="68">
        <v>0</v>
      </c>
    </row>
    <row r="104" spans="2:6" x14ac:dyDescent="0.2">
      <c r="B104" s="67" t="s">
        <v>87</v>
      </c>
      <c r="C104" s="67" t="str">
        <f>IF(AND(Sheet1!B27="Yes",Sheet1!B30="Yes",Sheet1!B33="",Sheet1!E74&gt;=Sheet1!E66),"No","")</f>
        <v/>
      </c>
      <c r="D104" s="67" t="s">
        <v>116</v>
      </c>
      <c r="E104" s="69">
        <v>0</v>
      </c>
      <c r="F104" s="69">
        <f>IF(C104="",0,Sheet1!E66-Sheet2!E104)</f>
        <v>0</v>
      </c>
    </row>
    <row r="105" spans="2:6" x14ac:dyDescent="0.2">
      <c r="B105" s="67" t="s">
        <v>87</v>
      </c>
      <c r="C105" s="67" t="str">
        <f>IF(AND(Sheet1!B27="Yes",Sheet1!B30="Yes",Sheet1!B33="",Sheet1!E74&lt;Sheet1!E66),"Yes","")</f>
        <v/>
      </c>
      <c r="D105" s="67" t="s">
        <v>117</v>
      </c>
      <c r="E105" s="69">
        <f>IF(C105="",0,Sheet1!E66-Sheet1!E74)</f>
        <v>0</v>
      </c>
      <c r="F105" s="69">
        <f>IF(C105="",0,Sheet1!E74)</f>
        <v>0</v>
      </c>
    </row>
    <row r="106" spans="2:6" x14ac:dyDescent="0.2">
      <c r="B106" s="65" t="s">
        <v>88</v>
      </c>
      <c r="C106" s="65" t="str">
        <f>IF(AND(Sheet1!B33="NOT LISTED",Sheet1!B30="Yes",Sheet1!B24="No",Sheet1!E74&gt;=Sheet1!E66),"No","")</f>
        <v/>
      </c>
      <c r="D106" s="65" t="s">
        <v>116</v>
      </c>
      <c r="E106" s="70">
        <v>0</v>
      </c>
      <c r="F106" s="70">
        <f>IF(C106="",0,Sheet1!E66-Sheet2!E106)</f>
        <v>0</v>
      </c>
    </row>
    <row r="107" spans="2:6" x14ac:dyDescent="0.2">
      <c r="B107" s="65" t="s">
        <v>88</v>
      </c>
      <c r="C107" s="65" t="str">
        <f>IF(AND(Sheet1!B33="NOT LISTED",Sheet1!B30="Yes",Sheet1!B24="No",Sheet1!E74&lt;Sheet1!E66),"Yes","")</f>
        <v/>
      </c>
      <c r="D107" s="65" t="s">
        <v>117</v>
      </c>
      <c r="E107" s="70">
        <f>IF(C107="",0,Sheet1!E66-Sheet1!E74)</f>
        <v>0</v>
      </c>
      <c r="F107" s="70">
        <f>IF(C107="",0,Sheet1!E74)</f>
        <v>0</v>
      </c>
    </row>
    <row r="108" spans="2:6" x14ac:dyDescent="0.2">
      <c r="B108" s="65" t="s">
        <v>88</v>
      </c>
      <c r="C108" s="65" t="str">
        <f>IF(AND(Sheet1!B33="NOT LISTED",Sheet1!B30="No"),"Yes","")</f>
        <v/>
      </c>
      <c r="D108" s="65" t="s">
        <v>109</v>
      </c>
      <c r="E108" s="70">
        <f>IF(C108="",0,Sheet1!E66)</f>
        <v>0</v>
      </c>
      <c r="F108" s="70">
        <v>0</v>
      </c>
    </row>
    <row r="109" spans="2:6" x14ac:dyDescent="0.2">
      <c r="B109" s="72" t="s">
        <v>89</v>
      </c>
      <c r="C109" s="72" t="str">
        <f>IF(SUM(D67:D84)&gt;0.5,"No","")</f>
        <v/>
      </c>
      <c r="D109" s="72" t="s">
        <v>110</v>
      </c>
      <c r="E109" s="73">
        <v>0</v>
      </c>
      <c r="F109" s="73">
        <f>IF(C109="",0,Sheet1!E66)</f>
        <v>0</v>
      </c>
    </row>
    <row r="110" spans="2:6" x14ac:dyDescent="0.2">
      <c r="B110" s="74" t="s">
        <v>90</v>
      </c>
      <c r="C110" s="74" t="str">
        <f>IF(Sheet1!B39="Employee","Yes","")</f>
        <v/>
      </c>
      <c r="D110" s="74" t="s">
        <v>111</v>
      </c>
      <c r="E110" s="75">
        <f>IF(C110="",0,Sheet1!E66)</f>
        <v>0</v>
      </c>
      <c r="F110" s="75">
        <v>0</v>
      </c>
    </row>
    <row r="111" spans="2:6" x14ac:dyDescent="0.2">
      <c r="B111" s="3" t="s">
        <v>108</v>
      </c>
      <c r="C111" s="3" t="str">
        <f>IF(SUM(E25:E61)&gt;0.5,"No","")</f>
        <v/>
      </c>
      <c r="D111" s="3" t="s">
        <v>139</v>
      </c>
      <c r="E111" s="71">
        <v>0</v>
      </c>
      <c r="F111" s="71">
        <f>IF(C111="",0,Sheet1!E66)</f>
        <v>0</v>
      </c>
    </row>
    <row r="112" spans="2:6" x14ac:dyDescent="0.2">
      <c r="B112" s="3" t="s">
        <v>108</v>
      </c>
      <c r="C112" s="3" t="str">
        <f>IF(SUM(F25:F61)&gt;0.5,"Yes","")</f>
        <v/>
      </c>
      <c r="D112" s="3" t="s">
        <v>112</v>
      </c>
      <c r="E112" s="71">
        <f>IF(C112="",0,Sheet1!E66)</f>
        <v>0</v>
      </c>
      <c r="F112" s="71">
        <v>0</v>
      </c>
    </row>
    <row r="113" spans="2:6" x14ac:dyDescent="0.2">
      <c r="B113" s="3" t="s">
        <v>108</v>
      </c>
      <c r="E113" s="71"/>
      <c r="F113" s="71"/>
    </row>
    <row r="114" spans="2:6" x14ac:dyDescent="0.2">
      <c r="B114" s="78" t="s">
        <v>133</v>
      </c>
      <c r="C114" s="78" t="str">
        <f>IF(AND(Sheet1!B45="Yes",Sheet1!B48="Yes",Sheet1!E66&lt;=Sheet1!E80),"No","")</f>
        <v/>
      </c>
      <c r="D114" s="78" t="s">
        <v>134</v>
      </c>
      <c r="E114" s="79">
        <v>0</v>
      </c>
      <c r="F114" s="79">
        <f>IF(C114="",0,Sheet1!E66-Sheet2!E114)</f>
        <v>0</v>
      </c>
    </row>
    <row r="115" spans="2:6" x14ac:dyDescent="0.2">
      <c r="B115" s="78" t="s">
        <v>133</v>
      </c>
      <c r="C115" s="78" t="str">
        <f>IF(Sheet1!B51="","",IF(AND(Sheet1!B45="Yes",Sheet1!B48="Yes",Sheet1!E66&gt;=Sheet1!E80),"Yes",""))</f>
        <v/>
      </c>
      <c r="D115" s="78" t="s">
        <v>135</v>
      </c>
      <c r="E115" s="79">
        <f>IF(C115="",0,Sheet1!E66-Sheet1!E80)</f>
        <v>0</v>
      </c>
      <c r="F115" s="79">
        <f>IF(C115="",0,Sheet1!E66-Sheet2!E115)</f>
        <v>0</v>
      </c>
    </row>
    <row r="116" spans="2:6" x14ac:dyDescent="0.2">
      <c r="B116" s="78" t="s">
        <v>133</v>
      </c>
      <c r="C116" s="78" t="str">
        <f>IF(Sheet1!B45="No","Yes","")</f>
        <v/>
      </c>
      <c r="D116" s="78" t="s">
        <v>136</v>
      </c>
      <c r="E116" s="79">
        <f>IF(C116="",0,Sheet1!E66-Sheet1!E80)</f>
        <v>0</v>
      </c>
      <c r="F116" s="79">
        <v>0</v>
      </c>
    </row>
    <row r="117" spans="2:6" x14ac:dyDescent="0.2">
      <c r="B117" s="80" t="s">
        <v>137</v>
      </c>
      <c r="C117" s="80" t="str">
        <f>IF(Sheet1!B48="No","Yes","")</f>
        <v/>
      </c>
      <c r="D117" s="80" t="s">
        <v>138</v>
      </c>
      <c r="E117" s="80">
        <f>IF(C117="",0,Sheet1!E66-Sheet1!E80)</f>
        <v>0</v>
      </c>
      <c r="F117" s="80">
        <v>0</v>
      </c>
    </row>
  </sheetData>
  <sheetProtection algorithmName="SHA-512" hashValue="0CXxoYafxob+CGUug+wcrAjogQvQn6JtXf75aDlGwHwlg/OgRbwCMJ7gye2GLd7pETCNeOg10VJ2xpXcI1YzvA==" saltValue="TuAGwYhoveiF55Nu3VKaRw==" spinCount="100000" sheet="1" objects="1" scenarios="1"/>
  <pageMargins left="0.27" right="0.33"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Sheet2!CentreContent</vt:lpstr>
      <vt:lpstr>Sheet1!Print_Area</vt:lpstr>
    </vt:vector>
  </TitlesOfParts>
  <Company>The University of Queensland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 Sutjiawan</dc:creator>
  <cp:lastModifiedBy>John Leyland</cp:lastModifiedBy>
  <cp:lastPrinted>2017-12-20T00:40:06Z</cp:lastPrinted>
  <dcterms:created xsi:type="dcterms:W3CDTF">2014-10-24T04:48:52Z</dcterms:created>
  <dcterms:modified xsi:type="dcterms:W3CDTF">2019-08-08T04:13:04Z</dcterms:modified>
</cp:coreProperties>
</file>